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1"/>
  </bookViews>
  <sheets>
    <sheet name="2018" sheetId="1" r:id="rId1"/>
    <sheet name="Анализ " sheetId="2" r:id="rId2"/>
  </sheets>
  <definedNames>
    <definedName name="_xlnm.Print_Titles" localSheetId="1">'Анализ '!$A:$B</definedName>
    <definedName name="_xlnm.Print_Area" localSheetId="0">'2018'!$A$1:$H$52</definedName>
    <definedName name="_xlnm.Print_Area" localSheetId="1">'Анализ '!$A$1:$Q$49</definedName>
  </definedNames>
  <calcPr fullCalcOnLoad="1"/>
</workbook>
</file>

<file path=xl/sharedStrings.xml><?xml version="1.0" encoding="utf-8"?>
<sst xmlns="http://schemas.openxmlformats.org/spreadsheetml/2006/main" count="116" uniqueCount="104">
  <si>
    <t>Бюджет</t>
  </si>
  <si>
    <t>%</t>
  </si>
  <si>
    <t>ЦССМ</t>
  </si>
  <si>
    <t>Терцентр</t>
  </si>
  <si>
    <t>Культура</t>
  </si>
  <si>
    <t>м.Дружківка</t>
  </si>
  <si>
    <t>Бюджет з</t>
  </si>
  <si>
    <t>Виконано</t>
  </si>
  <si>
    <t>виконання</t>
  </si>
  <si>
    <t>Питома</t>
  </si>
  <si>
    <t>вага</t>
  </si>
  <si>
    <t>Наименування</t>
  </si>
  <si>
    <t>Освіта</t>
  </si>
  <si>
    <t>Охорона здоров"я</t>
  </si>
  <si>
    <t>Рада ветеранів</t>
  </si>
  <si>
    <t>ВСЬОГО</t>
  </si>
  <si>
    <t xml:space="preserve">          по</t>
  </si>
  <si>
    <t xml:space="preserve">Итого </t>
  </si>
  <si>
    <t>Спеціальний фонд</t>
  </si>
  <si>
    <t xml:space="preserve">                 Загальний фонд</t>
  </si>
  <si>
    <t xml:space="preserve">                 Спеціальний фонд</t>
  </si>
  <si>
    <t xml:space="preserve">                     РАЗОМ</t>
  </si>
  <si>
    <t>грн.</t>
  </si>
  <si>
    <t>% виконання</t>
  </si>
  <si>
    <t>Начальник міськфінуправління</t>
  </si>
  <si>
    <t>Програми ЦССМ</t>
  </si>
  <si>
    <t>загальний+ спеціальний</t>
  </si>
  <si>
    <t>Інші програми соціального захисту дітей</t>
  </si>
  <si>
    <t>Виплата грошової допомоги фізичним  особам</t>
  </si>
  <si>
    <t>Центр профісіональной реабілітації інвалідов</t>
  </si>
  <si>
    <t>Засоби масової інформації</t>
  </si>
  <si>
    <t>Фізична культура і спорт</t>
  </si>
  <si>
    <t>тис.грн.</t>
  </si>
  <si>
    <t>Виконано за відповідний період минулого року</t>
  </si>
  <si>
    <t>Виконано за звітний період поточного року</t>
  </si>
  <si>
    <t>Бюджет з урахуванням змін</t>
  </si>
  <si>
    <t>Виплата допомоги сім`ям з дітьми, малозабезпеченим сім`ям, інвалідам з дитинства, дітям-інвалідам, тимчасової ержавної допомоги дітям та допомоги по догляду за інвалідами I чи II групи внаслідок психічного захворювання</t>
  </si>
  <si>
    <t>Соціальний захист та соціальне забезпечення</t>
  </si>
  <si>
    <t>Субсидії населенню на відшкодування витрат на оплату житлово - комунальних послуг</t>
  </si>
  <si>
    <r>
      <t>Дитячі будинки (в т.ч. сімейного типу, прийомні сім’</t>
    </r>
    <r>
      <rPr>
        <sz val="6"/>
        <rFont val="Times New Roman"/>
        <family val="1"/>
      </rPr>
      <t>ї)</t>
    </r>
  </si>
  <si>
    <t>Видатки на соціальний захист населення , що здійснюються за рахунок коштів з державної субвенції</t>
  </si>
  <si>
    <t>Пільги окремих категорям населення на оплату житлово - комунальних послуг</t>
  </si>
  <si>
    <t>Пільги та субсидії населенню на придбання твердого палива та скрапленого газу</t>
  </si>
  <si>
    <t>Інші пільги населенню</t>
  </si>
  <si>
    <t xml:space="preserve"> в т.ч. за рахунок субвенції</t>
  </si>
  <si>
    <t>зведеному бюджету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</si>
  <si>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</si>
  <si>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 xml:space="preserve">І.В.Трушина </t>
  </si>
  <si>
    <t>0100</t>
  </si>
  <si>
    <t>1000</t>
  </si>
  <si>
    <t>2000</t>
  </si>
  <si>
    <t>3000</t>
  </si>
  <si>
    <t>3104</t>
  </si>
  <si>
    <t>Органи місцевого самоврядування</t>
  </si>
  <si>
    <t>3105</t>
  </si>
  <si>
    <t>4000</t>
  </si>
  <si>
    <t>5000</t>
  </si>
  <si>
    <t>6000</t>
  </si>
  <si>
    <t>7300</t>
  </si>
  <si>
    <t>урахуванням змін</t>
  </si>
  <si>
    <t>ТКВКБМС</t>
  </si>
  <si>
    <t>КТКВМБ</t>
  </si>
  <si>
    <t>Наименування КТКВМБ</t>
  </si>
  <si>
    <t>2018 р</t>
  </si>
  <si>
    <t>3011</t>
  </si>
  <si>
    <t>3012</t>
  </si>
  <si>
    <t>3020</t>
  </si>
  <si>
    <t>3030</t>
  </si>
  <si>
    <t>3121</t>
  </si>
  <si>
    <t>3123</t>
  </si>
  <si>
    <t>3160</t>
  </si>
  <si>
    <t>3180</t>
  </si>
  <si>
    <t>3192</t>
  </si>
  <si>
    <t>3230</t>
  </si>
  <si>
    <t>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</si>
  <si>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</si>
  <si>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3241</t>
  </si>
  <si>
    <t>3242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</si>
  <si>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</si>
  <si>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</si>
  <si>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</si>
  <si>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</si>
  <si>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</si>
  <si>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</si>
  <si>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</si>
  <si>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3040, 3080</t>
  </si>
  <si>
    <t>3112</t>
  </si>
  <si>
    <t>Проведення заходів із землеустрою</t>
  </si>
  <si>
    <t>7130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</si>
  <si>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</si>
  <si>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</si>
  <si>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Міжбюджетні трансферти</t>
  </si>
  <si>
    <t>Житлове та комунальне господарство</t>
  </si>
  <si>
    <t>Видатки на поховання учасників бойових дій та осіб з інвалідністю внаслідок війни</t>
  </si>
  <si>
    <t>3090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</si>
  <si>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</si>
  <si>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</si>
  <si>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Пільгове медичне обслуговування осіб, які постраждали внаслідок Чорнобильської катастрофи</t>
  </si>
  <si>
    <t>3050</t>
  </si>
  <si>
    <t>Виконання бюджету за  2018 рік</t>
  </si>
  <si>
    <t>9000</t>
  </si>
  <si>
    <t>% виконання 2018 до 2017 року</t>
  </si>
  <si>
    <t>Виконання бюджету за 2018 рік</t>
  </si>
  <si>
    <t>І.В. ТРУШИНА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</si>
</sst>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_-* #,##0.0_р_._-;\-* #,##0.0_р_._-;_-* &quot;-&quot;??_р_._-;_-@_-"/>
    <numFmt numFmtId="188" formatCode="_-* #,##0.0\ _г_р_н_._-;\-* #,##0.0\ _г_р_н_._-;_-* &quot;-&quot;?\ _г_р_н_._-;_-@_-"/>
    <numFmt numFmtId="189" formatCode="#,##0.0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_р_._-;_-@_-"/>
    <numFmt numFmtId="196" formatCode="_-* #,##0.00_р_._-;\-* #,##0.00_р_._-;_-* &quot;-&quot;_р_._-;_-@_-"/>
    <numFmt numFmtId="197" formatCode="_-* #,##0_р_._-;\-* #,##0_р_._-;_-* &quot;-&quot;??_р_._-;_-@_-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9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4" fillId="0" borderId="15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9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88" fontId="0" fillId="0" borderId="0" xfId="0" applyNumberFormat="1" applyAlignment="1">
      <alignment/>
    </xf>
    <xf numFmtId="169" fontId="1" fillId="0" borderId="15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87" fontId="7" fillId="0" borderId="15" xfId="60" applyNumberFormat="1" applyFont="1" applyFill="1" applyBorder="1" applyAlignment="1">
      <alignment horizontal="center" vertical="center"/>
    </xf>
    <xf numFmtId="184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9" fontId="7" fillId="0" borderId="15" xfId="0" applyNumberFormat="1" applyFont="1" applyBorder="1" applyAlignment="1">
      <alignment horizontal="center" vertical="center"/>
    </xf>
    <xf numFmtId="187" fontId="7" fillId="0" borderId="15" xfId="60" applyNumberFormat="1" applyFont="1" applyBorder="1" applyAlignment="1">
      <alignment horizontal="center" vertical="center"/>
    </xf>
    <xf numFmtId="187" fontId="6" fillId="0" borderId="15" xfId="6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69" fontId="1" fillId="33" borderId="15" xfId="0" applyNumberFormat="1" applyFont="1" applyFill="1" applyBorder="1" applyAlignment="1">
      <alignment horizontal="center" vertical="center"/>
    </xf>
    <xf numFmtId="169" fontId="4" fillId="33" borderId="15" xfId="0" applyNumberFormat="1" applyFont="1" applyFill="1" applyBorder="1" applyAlignment="1">
      <alignment horizontal="center" vertical="center"/>
    </xf>
    <xf numFmtId="169" fontId="4" fillId="33" borderId="15" xfId="0" applyNumberFormat="1" applyFont="1" applyFill="1" applyBorder="1" applyAlignment="1">
      <alignment horizontal="center" vertical="center" wrapText="1"/>
    </xf>
    <xf numFmtId="169" fontId="1" fillId="33" borderId="15" xfId="0" applyNumberFormat="1" applyFont="1" applyFill="1" applyBorder="1" applyAlignment="1">
      <alignment horizontal="center" vertical="center"/>
    </xf>
    <xf numFmtId="169" fontId="0" fillId="33" borderId="15" xfId="0" applyNumberFormat="1" applyFont="1" applyFill="1" applyBorder="1" applyAlignment="1">
      <alignment horizontal="center" vertical="center"/>
    </xf>
    <xf numFmtId="16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6" fontId="0" fillId="0" borderId="0" xfId="0" applyNumberFormat="1" applyAlignment="1">
      <alignment/>
    </xf>
    <xf numFmtId="184" fontId="8" fillId="0" borderId="15" xfId="0" applyNumberFormat="1" applyFont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96" fontId="0" fillId="0" borderId="0" xfId="0" applyNumberFormat="1" applyFill="1" applyAlignment="1">
      <alignment/>
    </xf>
    <xf numFmtId="189" fontId="0" fillId="0" borderId="0" xfId="0" applyNumberFormat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3" fontId="0" fillId="0" borderId="0" xfId="0" applyNumberFormat="1" applyAlignment="1">
      <alignment/>
    </xf>
    <xf numFmtId="169" fontId="0" fillId="0" borderId="19" xfId="0" applyNumberFormat="1" applyFont="1" applyBorder="1" applyAlignment="1">
      <alignment horizontal="center" vertical="center"/>
    </xf>
    <xf numFmtId="169" fontId="0" fillId="0" borderId="20" xfId="0" applyNumberFormat="1" applyFont="1" applyBorder="1" applyAlignment="1">
      <alignment horizontal="center" vertical="center"/>
    </xf>
    <xf numFmtId="197" fontId="6" fillId="0" borderId="15" xfId="60" applyNumberFormat="1" applyFont="1" applyFill="1" applyBorder="1" applyAlignment="1" applyProtection="1">
      <alignment horizontal="center" vertical="center"/>
      <protection/>
    </xf>
    <xf numFmtId="196" fontId="0" fillId="33" borderId="0" xfId="0" applyNumberFormat="1" applyFill="1" applyAlignment="1">
      <alignment/>
    </xf>
    <xf numFmtId="0" fontId="4" fillId="0" borderId="0" xfId="0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169" fontId="4" fillId="0" borderId="22" xfId="0" applyNumberFormat="1" applyFont="1" applyBorder="1" applyAlignment="1">
      <alignment horizontal="center" vertical="center"/>
    </xf>
    <xf numFmtId="187" fontId="8" fillId="0" borderId="15" xfId="6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71" fontId="7" fillId="0" borderId="15" xfId="60" applyFont="1" applyBorder="1" applyAlignment="1">
      <alignment horizontal="center" vertical="center"/>
    </xf>
    <xf numFmtId="169" fontId="10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62"/>
  <sheetViews>
    <sheetView view="pageBreakPreview" zoomScale="60" zoomScalePageLayoutView="0" workbookViewId="0" topLeftCell="A4">
      <pane xSplit="2" ySplit="6" topLeftCell="C25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N39" sqref="N39"/>
    </sheetView>
  </sheetViews>
  <sheetFormatPr defaultColWidth="9.00390625" defaultRowHeight="12.75"/>
  <cols>
    <col min="2" max="2" width="33.00390625" style="0" customWidth="1"/>
    <col min="3" max="3" width="18.875" style="0" customWidth="1"/>
    <col min="4" max="4" width="12.75390625" style="0" customWidth="1"/>
    <col min="5" max="5" width="15.25390625" style="0" customWidth="1"/>
    <col min="6" max="6" width="13.375" style="0" customWidth="1"/>
    <col min="7" max="7" width="9.875" style="0" bestFit="1" customWidth="1"/>
    <col min="8" max="8" width="11.625" style="0" customWidth="1"/>
  </cols>
  <sheetData>
    <row r="5" spans="3:7" ht="12.75">
      <c r="C5" s="1" t="s">
        <v>102</v>
      </c>
      <c r="D5" s="1"/>
      <c r="E5" s="1"/>
      <c r="F5" s="1"/>
      <c r="G5" s="1"/>
    </row>
    <row r="6" spans="3:7" ht="12.75">
      <c r="C6" s="1" t="s">
        <v>16</v>
      </c>
      <c r="D6" s="1" t="s">
        <v>45</v>
      </c>
      <c r="E6" s="1"/>
      <c r="F6" s="1"/>
      <c r="G6" s="1"/>
    </row>
    <row r="7" spans="5:8" ht="12.75">
      <c r="E7" t="s">
        <v>26</v>
      </c>
      <c r="H7" t="s">
        <v>32</v>
      </c>
    </row>
    <row r="8" spans="2:8" s="18" customFormat="1" ht="12.75">
      <c r="B8" s="17" t="s">
        <v>11</v>
      </c>
      <c r="C8" s="17" t="str">
        <f>'Анализ '!B7</f>
        <v>ТКВКБМС</v>
      </c>
      <c r="D8" s="17" t="s">
        <v>0</v>
      </c>
      <c r="E8" s="17" t="s">
        <v>6</v>
      </c>
      <c r="F8" s="17" t="s">
        <v>7</v>
      </c>
      <c r="G8" s="17" t="s">
        <v>1</v>
      </c>
      <c r="H8" s="17" t="s">
        <v>9</v>
      </c>
    </row>
    <row r="9" spans="2:8" s="18" customFormat="1" ht="12.75">
      <c r="B9" s="19" t="s">
        <v>61</v>
      </c>
      <c r="C9" s="19"/>
      <c r="D9" s="20" t="s">
        <v>63</v>
      </c>
      <c r="E9" s="19" t="s">
        <v>59</v>
      </c>
      <c r="F9" s="19"/>
      <c r="G9" s="19" t="s">
        <v>8</v>
      </c>
      <c r="H9" s="19" t="s">
        <v>10</v>
      </c>
    </row>
    <row r="10" spans="2:8" s="18" customFormat="1" ht="12.75">
      <c r="B10" s="10"/>
      <c r="C10" s="10"/>
      <c r="D10" s="10"/>
      <c r="E10" s="10"/>
      <c r="F10" s="10"/>
      <c r="G10" s="10"/>
      <c r="H10" s="10"/>
    </row>
    <row r="11" spans="2:8" s="21" customFormat="1" ht="15" customHeight="1">
      <c r="B11" s="34" t="str">
        <f>'Анализ '!A9</f>
        <v>Органи місцевого самоврядування</v>
      </c>
      <c r="C11" s="79" t="str">
        <f>'Анализ '!B9</f>
        <v>0100</v>
      </c>
      <c r="D11" s="39">
        <v>33908.32</v>
      </c>
      <c r="E11" s="38">
        <f>'Анализ '!C9/1000</f>
        <v>35218.613</v>
      </c>
      <c r="F11" s="38">
        <f>'Анализ '!D9/1000</f>
        <v>34522.50495</v>
      </c>
      <c r="G11" s="39">
        <f>F11/E11*100</f>
        <v>98.02346546128891</v>
      </c>
      <c r="H11" s="40">
        <f aca="true" t="shared" si="0" ref="H11:H39">F11/$F$39*100</f>
        <v>12.232547081510194</v>
      </c>
    </row>
    <row r="12" spans="2:8" s="21" customFormat="1" ht="12.75">
      <c r="B12" s="34" t="str">
        <f>'Анализ '!A10</f>
        <v>Освіта</v>
      </c>
      <c r="C12" s="79" t="str">
        <f>'Анализ '!B10</f>
        <v>1000</v>
      </c>
      <c r="D12" s="39">
        <v>119016.398</v>
      </c>
      <c r="E12" s="38">
        <f>'Анализ '!C10/1000</f>
        <v>125964.359</v>
      </c>
      <c r="F12" s="38">
        <f>'Анализ '!D10/1000</f>
        <v>119578.33806000001</v>
      </c>
      <c r="G12" s="39">
        <f aca="true" t="shared" si="1" ref="G12:G20">F12/E12*100</f>
        <v>94.93029537029598</v>
      </c>
      <c r="H12" s="40">
        <f t="shared" si="0"/>
        <v>42.370843377855536</v>
      </c>
    </row>
    <row r="13" spans="2:8" s="21" customFormat="1" ht="12.75">
      <c r="B13" s="34" t="str">
        <f>'Анализ '!A11</f>
        <v>Охорона здоров"я</v>
      </c>
      <c r="C13" s="79" t="str">
        <f>'Анализ '!B11</f>
        <v>2000</v>
      </c>
      <c r="D13" s="39">
        <v>73377.259</v>
      </c>
      <c r="E13" s="38">
        <f>'Анализ '!C11/1000</f>
        <v>79947.022</v>
      </c>
      <c r="F13" s="38">
        <f>'Анализ '!D11/1000</f>
        <v>78985.1472</v>
      </c>
      <c r="G13" s="39">
        <f t="shared" si="1"/>
        <v>98.79685975044825</v>
      </c>
      <c r="H13" s="40">
        <f t="shared" si="0"/>
        <v>27.98723711571263</v>
      </c>
    </row>
    <row r="14" spans="2:8" s="21" customFormat="1" ht="25.5">
      <c r="B14" s="34" t="str">
        <f>'Анализ '!A12</f>
        <v>Соціальний захист та соціальне забезпечення</v>
      </c>
      <c r="C14" s="79" t="str">
        <f>'Анализ '!B12</f>
        <v>3000</v>
      </c>
      <c r="D14" s="58">
        <f>SUM(D15:D29)</f>
        <v>13104.704000000002</v>
      </c>
      <c r="E14" s="58">
        <f>SUM(E15:E29)</f>
        <v>14562.54</v>
      </c>
      <c r="F14" s="58">
        <f>SUM(F15:F29)</f>
        <v>13815.4421</v>
      </c>
      <c r="G14" s="39">
        <f t="shared" si="1"/>
        <v>94.86972808315033</v>
      </c>
      <c r="H14" s="40">
        <f t="shared" si="0"/>
        <v>4.895300795376613</v>
      </c>
    </row>
    <row r="15" spans="2:8" s="72" customFormat="1" ht="12.75">
      <c r="B15" s="35" t="str">
        <f>'Анализ '!A13</f>
        <v>Інші пільги населенню</v>
      </c>
      <c r="C15" s="85" t="str">
        <f>'Анализ '!B13</f>
        <v>3030</v>
      </c>
      <c r="D15" s="57">
        <f>25+65+500+100+5100</f>
        <v>5790</v>
      </c>
      <c r="E15" s="84">
        <f>'Анализ '!C13/1000</f>
        <v>6052.374</v>
      </c>
      <c r="F15" s="84">
        <f>'Анализ '!D13/1000</f>
        <v>5966.88379</v>
      </c>
      <c r="G15" s="57">
        <f t="shared" si="1"/>
        <v>98.58749294078655</v>
      </c>
      <c r="H15" s="86">
        <f t="shared" si="0"/>
        <v>2.114278410468444</v>
      </c>
    </row>
    <row r="16" spans="2:8" s="72" customFormat="1" ht="38.25">
      <c r="B16" s="35" t="str">
        <f>'Анализ '!A14</f>
        <v>Пільгове медичне обслуговування осіб, які постраждали внаслідок Чорнобильської катастрофи</v>
      </c>
      <c r="C16" s="85" t="str">
        <f>'Анализ '!B14</f>
        <v>3050</v>
      </c>
      <c r="D16" s="57"/>
      <c r="E16" s="84">
        <f>'Анализ '!C14/1000</f>
        <v>17.2</v>
      </c>
      <c r="F16" s="84">
        <f>'Анализ '!D14/1000</f>
        <v>16.50183</v>
      </c>
      <c r="G16" s="57">
        <f>F16/E16*100</f>
        <v>95.94087209302327</v>
      </c>
      <c r="H16" s="86">
        <f>F16/$F$39*100</f>
        <v>0.005847183241726999</v>
      </c>
    </row>
    <row r="17" spans="2:8" s="72" customFormat="1" ht="42.75" customHeight="1">
      <c r="B17" s="35" t="str">
        <f>'Анализ '!A15</f>
        <v>Видатки на поховання учасників бойових дій та осіб з інвалідністю внаслідок війни</v>
      </c>
      <c r="C17" s="85" t="str">
        <f>'Анализ '!B15</f>
        <v>3090</v>
      </c>
      <c r="D17" s="57"/>
      <c r="E17" s="84">
        <f>'Анализ '!C15/1000</f>
        <v>79.7</v>
      </c>
      <c r="F17" s="84">
        <f>'Анализ '!D15/1000</f>
        <v>16.69536</v>
      </c>
      <c r="G17" s="57">
        <f>F17/E17*100</f>
        <v>20.947754077791718</v>
      </c>
      <c r="H17" s="86">
        <f>F17/$F$39*100</f>
        <v>0.005915757779991629</v>
      </c>
    </row>
    <row r="18" spans="2:8" s="72" customFormat="1" ht="12.75">
      <c r="B18" s="35" t="str">
        <f>'Анализ '!A16</f>
        <v>Терцентр</v>
      </c>
      <c r="C18" s="85" t="str">
        <f>'Анализ '!B16</f>
        <v>3104</v>
      </c>
      <c r="D18" s="57">
        <v>2734.653</v>
      </c>
      <c r="E18" s="84">
        <f>'Анализ '!C16/1000</f>
        <v>2655.095</v>
      </c>
      <c r="F18" s="84">
        <f>'Анализ '!D16/1000</f>
        <v>2584.71467</v>
      </c>
      <c r="G18" s="57">
        <f t="shared" si="1"/>
        <v>97.3492349614609</v>
      </c>
      <c r="H18" s="86">
        <f t="shared" si="0"/>
        <v>0.9158560173671605</v>
      </c>
    </row>
    <row r="19" spans="2:8" s="72" customFormat="1" ht="25.5">
      <c r="B19" s="35" t="str">
        <f>'Анализ '!A17</f>
        <v>Центр профісіональной реабілітації інвалідов</v>
      </c>
      <c r="C19" s="85" t="str">
        <f>'Анализ '!B17</f>
        <v>3105</v>
      </c>
      <c r="D19" s="57">
        <v>978.733</v>
      </c>
      <c r="E19" s="84">
        <f>'Анализ '!C17/1000</f>
        <v>1377.314</v>
      </c>
      <c r="F19" s="84">
        <f>'Анализ '!D17/1000</f>
        <v>1275.2256399999999</v>
      </c>
      <c r="G19" s="57">
        <f t="shared" si="1"/>
        <v>92.5878659477795</v>
      </c>
      <c r="H19" s="86">
        <f t="shared" si="0"/>
        <v>0.45185764194811034</v>
      </c>
    </row>
    <row r="20" spans="2:8" s="72" customFormat="1" ht="25.5">
      <c r="B20" s="35" t="str">
        <f>'Анализ '!A18</f>
        <v>Інші програми соціального захисту дітей</v>
      </c>
      <c r="C20" s="85" t="str">
        <f>'Анализ '!B18</f>
        <v>3112</v>
      </c>
      <c r="D20" s="57">
        <v>24</v>
      </c>
      <c r="E20" s="84">
        <f>'Анализ '!C18/1000</f>
        <v>24</v>
      </c>
      <c r="F20" s="84">
        <f>'Анализ '!D18/1000</f>
        <v>24</v>
      </c>
      <c r="G20" s="57">
        <f t="shared" si="1"/>
        <v>100</v>
      </c>
      <c r="H20" s="86">
        <f t="shared" si="0"/>
        <v>0.008504050629623986</v>
      </c>
    </row>
    <row r="21" spans="2:8" s="72" customFormat="1" ht="12.75">
      <c r="B21" s="35" t="str">
        <f>'Анализ '!A19</f>
        <v>ЦССМ</v>
      </c>
      <c r="C21" s="85" t="str">
        <f>'Анализ '!B19</f>
        <v>3121</v>
      </c>
      <c r="D21" s="57">
        <v>554.323</v>
      </c>
      <c r="E21" s="84">
        <f>'Анализ '!C19/1000</f>
        <v>474.323</v>
      </c>
      <c r="F21" s="84">
        <f>'Анализ '!D19/1000</f>
        <v>403.36444</v>
      </c>
      <c r="G21" s="57">
        <f aca="true" t="shared" si="2" ref="G21:G32">F21/E21*100</f>
        <v>85.04003390094935</v>
      </c>
      <c r="H21" s="86">
        <f t="shared" si="0"/>
        <v>0.1429263174979136</v>
      </c>
    </row>
    <row r="22" spans="2:8" s="72" customFormat="1" ht="12.75">
      <c r="B22" s="35" t="str">
        <f>'Анализ '!A20</f>
        <v>Програми ЦССМ</v>
      </c>
      <c r="C22" s="85" t="str">
        <f>'Анализ '!B20</f>
        <v>3123</v>
      </c>
      <c r="D22" s="57">
        <v>6</v>
      </c>
      <c r="E22" s="84">
        <f>'Анализ '!C20/1000</f>
        <v>6</v>
      </c>
      <c r="F22" s="84">
        <f>'Анализ '!D20/1000</f>
        <v>6</v>
      </c>
      <c r="G22" s="57">
        <f t="shared" si="2"/>
        <v>100</v>
      </c>
      <c r="H22" s="86">
        <f t="shared" si="0"/>
        <v>0.0021260126574059964</v>
      </c>
    </row>
    <row r="23" spans="2:8" s="72" customFormat="1" ht="86.25" customHeight="1">
      <c r="B23" s="35" t="str">
        <f>'Анализ '!A21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C23" s="85" t="str">
        <f>'Анализ '!B21</f>
        <v>3140</v>
      </c>
      <c r="D23" s="57"/>
      <c r="E23" s="84">
        <f>'Анализ '!C21/1000</f>
        <v>500</v>
      </c>
      <c r="F23" s="84">
        <f>'Анализ '!D21/1000</f>
        <v>398.04</v>
      </c>
      <c r="G23" s="57">
        <f>F23/E23*100</f>
        <v>79.608</v>
      </c>
      <c r="H23" s="86">
        <f>F23/$F$39*100</f>
        <v>0.1410396796923138</v>
      </c>
    </row>
    <row r="24" spans="2:8" s="72" customFormat="1" ht="106.5" customHeight="1">
      <c r="B24" s="35" t="str">
        <f>'Анализ '!A22</f>
        <v>Виплата грошової допомоги фізичним  особам</v>
      </c>
      <c r="C24" s="85" t="str">
        <f>'Анализ '!B22</f>
        <v>3160</v>
      </c>
      <c r="D24" s="57">
        <v>600</v>
      </c>
      <c r="E24" s="84">
        <f>'Анализ '!C22/1000</f>
        <v>675.111</v>
      </c>
      <c r="F24" s="84">
        <f>'Анализ '!D22/1000</f>
        <v>674.41648</v>
      </c>
      <c r="G24" s="84">
        <f>'Анализ '!E24/1000</f>
        <v>0.09976868421052631</v>
      </c>
      <c r="H24" s="86">
        <f t="shared" si="0"/>
        <v>0.23896966214053297</v>
      </c>
    </row>
    <row r="25" spans="2:8" s="72" customFormat="1" ht="106.5" customHeight="1">
      <c r="B25" s="35" t="str">
        <f>'Анализ '!A23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C25" s="85" t="str">
        <f>'Анализ '!B23</f>
        <v>3171</v>
      </c>
      <c r="D25" s="57"/>
      <c r="E25" s="84">
        <f>'Анализ '!C23/1000</f>
        <v>8.7</v>
      </c>
      <c r="F25" s="84">
        <f>'Анализ '!D23/1000</f>
        <v>8.15344</v>
      </c>
      <c r="G25" s="84">
        <f>'Анализ '!E25/1000</f>
        <v>0.09948692322557585</v>
      </c>
      <c r="H25" s="86">
        <f>F25/$F$39*100</f>
        <v>0.002889052773566724</v>
      </c>
    </row>
    <row r="26" spans="2:8" s="72" customFormat="1" ht="102">
      <c r="B26" s="35" t="str">
        <f>'Анализ '!A24</f>
        <v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v>
      </c>
      <c r="C26" s="85" t="str">
        <f>'Анализ '!B24</f>
        <v>3180</v>
      </c>
      <c r="D26" s="57"/>
      <c r="E26" s="84">
        <f>'Анализ '!C24/1000</f>
        <v>7.6</v>
      </c>
      <c r="F26" s="84">
        <f>'Анализ '!D24/1000</f>
        <v>7.58242</v>
      </c>
      <c r="G26" s="57">
        <f t="shared" si="2"/>
        <v>99.76868421052632</v>
      </c>
      <c r="H26" s="86">
        <f t="shared" si="0"/>
        <v>0.002686720148961396</v>
      </c>
    </row>
    <row r="27" spans="2:8" s="72" customFormat="1" ht="12.75">
      <c r="B27" s="35" t="str">
        <f>'Анализ '!A25</f>
        <v>Рада ветеранів</v>
      </c>
      <c r="C27" s="85" t="str">
        <f>'Анализ '!B25</f>
        <v>3192</v>
      </c>
      <c r="D27" s="57">
        <v>475</v>
      </c>
      <c r="E27" s="84">
        <f>'Анализ '!C25/1000</f>
        <v>584.739</v>
      </c>
      <c r="F27" s="84">
        <f>'Анализ '!D25/1000</f>
        <v>581.73884</v>
      </c>
      <c r="G27" s="57">
        <f>F27/E27*100</f>
        <v>99.48692322557585</v>
      </c>
      <c r="H27" s="86">
        <f t="shared" si="0"/>
        <v>0.20613068952411362</v>
      </c>
    </row>
    <row r="28" spans="2:8" s="72" customFormat="1" ht="38.25">
      <c r="B28" s="35" t="str">
        <f>'Анализ '!A26</f>
        <v>Забезпечення діяльності інших закладів у сфері соціального захисту і соціального забезпечення</v>
      </c>
      <c r="C28" s="85" t="str">
        <f>'Анализ '!B26</f>
        <v>3241</v>
      </c>
      <c r="D28" s="57">
        <v>1445.995</v>
      </c>
      <c r="E28" s="84">
        <f>'Анализ '!C26/1000</f>
        <v>1461.495</v>
      </c>
      <c r="F28" s="84">
        <f>'Анализ '!D26/1000</f>
        <v>1437.4696299999998</v>
      </c>
      <c r="G28" s="57">
        <f>F28/E28*100</f>
        <v>98.35611001063978</v>
      </c>
      <c r="H28" s="86">
        <f t="shared" si="0"/>
        <v>0.5093464380027857</v>
      </c>
    </row>
    <row r="29" spans="2:8" s="72" customFormat="1" ht="25.5">
      <c r="B29" s="35" t="str">
        <f>'Анализ '!A27</f>
        <v> Інші заходи у сфері соціального захисту і соціального забезпечення</v>
      </c>
      <c r="C29" s="85" t="str">
        <f>'Анализ '!B27</f>
        <v>3242</v>
      </c>
      <c r="D29" s="57">
        <v>496</v>
      </c>
      <c r="E29" s="84">
        <f>'Анализ '!C27/1000</f>
        <v>638.889</v>
      </c>
      <c r="F29" s="84">
        <f>'Анализ '!D27/1000</f>
        <v>414.65556</v>
      </c>
      <c r="G29" s="57">
        <f t="shared" si="2"/>
        <v>64.90259810389598</v>
      </c>
      <c r="H29" s="86">
        <f t="shared" si="0"/>
        <v>0.1469271615039619</v>
      </c>
    </row>
    <row r="30" spans="2:8" s="21" customFormat="1" ht="12.75">
      <c r="B30" s="34" t="str">
        <f>'Анализ '!A28</f>
        <v>Культура</v>
      </c>
      <c r="C30" s="79" t="str">
        <f>'Анализ '!B28</f>
        <v>4000</v>
      </c>
      <c r="D30" s="39">
        <v>7327.481</v>
      </c>
      <c r="E30" s="38">
        <f>'Анализ '!C28/1000</f>
        <v>9745.129</v>
      </c>
      <c r="F30" s="38">
        <f>'Анализ '!D28/1000</f>
        <v>9199.61406</v>
      </c>
      <c r="G30" s="39">
        <f t="shared" si="2"/>
        <v>94.40217836008121</v>
      </c>
      <c r="H30" s="40">
        <f t="shared" si="0"/>
        <v>3.259749322468361</v>
      </c>
    </row>
    <row r="31" spans="2:8" s="21" customFormat="1" ht="12.75">
      <c r="B31" s="34" t="str">
        <f>'Анализ '!A29</f>
        <v>Фізична культура і спорт</v>
      </c>
      <c r="C31" s="79" t="str">
        <f>'Анализ '!B29</f>
        <v>5000</v>
      </c>
      <c r="D31" s="39">
        <v>3273.08</v>
      </c>
      <c r="E31" s="38">
        <f>'Анализ '!C29/1000</f>
        <v>4470.392</v>
      </c>
      <c r="F31" s="38">
        <f>'Анализ '!D29/1000</f>
        <v>4301.07107</v>
      </c>
      <c r="G31" s="39">
        <f t="shared" si="2"/>
        <v>96.21239188867554</v>
      </c>
      <c r="H31" s="40">
        <f t="shared" si="0"/>
        <v>1.5240219225371252</v>
      </c>
    </row>
    <row r="32" spans="2:8" s="21" customFormat="1" ht="12.75">
      <c r="B32" s="34" t="str">
        <f>'Анализ '!A30</f>
        <v>Житлове та комунальне господарство</v>
      </c>
      <c r="C32" s="79" t="str">
        <f>'Анализ '!B30</f>
        <v>6000</v>
      </c>
      <c r="D32" s="39">
        <v>10425.772</v>
      </c>
      <c r="E32" s="38">
        <f>'Анализ '!C30/1000</f>
        <v>11885.44</v>
      </c>
      <c r="F32" s="38">
        <f>'Анализ '!D30/1000</f>
        <v>11644.14941</v>
      </c>
      <c r="G32" s="39">
        <f t="shared" si="2"/>
        <v>97.9698640521512</v>
      </c>
      <c r="H32" s="40">
        <f t="shared" si="0"/>
        <v>4.125934838397761</v>
      </c>
    </row>
    <row r="33" spans="2:8" s="21" customFormat="1" ht="12.75">
      <c r="B33" s="34" t="str">
        <f>'Анализ '!A32</f>
        <v>Проведення заходів із землеустрою</v>
      </c>
      <c r="C33" s="79" t="str">
        <f>'Анализ '!B32</f>
        <v>7130</v>
      </c>
      <c r="D33" s="39"/>
      <c r="E33" s="38">
        <f>'Анализ '!C32/1000</f>
        <v>46</v>
      </c>
      <c r="F33" s="38">
        <f>'Анализ '!D32/1000</f>
        <v>45.04992</v>
      </c>
      <c r="G33" s="39">
        <f>F33/E33*100</f>
        <v>97.93460869565217</v>
      </c>
      <c r="H33" s="40">
        <f>F33/$F$39*100</f>
        <v>0.01596278335585459</v>
      </c>
    </row>
    <row r="34" spans="2:8" s="21" customFormat="1" ht="24" customHeight="1">
      <c r="B34" s="34" t="str">
        <f>'Анализ '!A33</f>
        <v>Будівництво та регіональний розвиток</v>
      </c>
      <c r="C34" s="79" t="str">
        <f>'Анализ '!B33</f>
        <v>7300</v>
      </c>
      <c r="D34" s="39"/>
      <c r="E34" s="38">
        <f>'Анализ '!C33/1000</f>
        <v>9.6</v>
      </c>
      <c r="F34" s="38">
        <f>'Анализ '!D33/1000</f>
        <v>9.6</v>
      </c>
      <c r="G34" s="39">
        <f>F34/E34*100</f>
        <v>100</v>
      </c>
      <c r="H34" s="40">
        <f t="shared" si="0"/>
        <v>0.003401620251849594</v>
      </c>
    </row>
    <row r="35" spans="2:8" s="21" customFormat="1" ht="25.5">
      <c r="B35" s="34" t="str">
        <f>'Анализ '!A34</f>
        <v>Транспорт та транспортна інфраструктура, дорожнє господарство</v>
      </c>
      <c r="C35" s="79" t="str">
        <f>'Анализ '!B34</f>
        <v>7400</v>
      </c>
      <c r="D35" s="39">
        <v>2842.284</v>
      </c>
      <c r="E35" s="38">
        <f>'Анализ '!C34/1000</f>
        <v>7630.566</v>
      </c>
      <c r="F35" s="38">
        <f>'Анализ '!D34/1000</f>
        <v>7497.11271</v>
      </c>
      <c r="G35" s="39">
        <f>F35/E35*100</f>
        <v>98.25106957989749</v>
      </c>
      <c r="H35" s="40">
        <f t="shared" si="0"/>
        <v>2.6564927525765616</v>
      </c>
    </row>
    <row r="36" spans="2:8" s="21" customFormat="1" ht="24.75" customHeight="1">
      <c r="B36" s="34" t="str">
        <f>'Анализ '!A35</f>
        <v>Захист населення і територій від надзвичайних ситуацій техногенного та природного характеру</v>
      </c>
      <c r="C36" s="79" t="str">
        <f>'Анализ '!B35</f>
        <v>8100</v>
      </c>
      <c r="D36" s="39">
        <v>20</v>
      </c>
      <c r="E36" s="38">
        <f>'Анализ '!C35/1000</f>
        <v>20</v>
      </c>
      <c r="F36" s="38">
        <f>'Анализ '!D35/1000</f>
        <v>0</v>
      </c>
      <c r="G36" s="39">
        <f>F36/E36*100</f>
        <v>0</v>
      </c>
      <c r="H36" s="40">
        <f t="shared" si="0"/>
        <v>0</v>
      </c>
    </row>
    <row r="37" spans="2:8" s="21" customFormat="1" ht="25.5">
      <c r="B37" s="34" t="str">
        <f>'Анализ '!A36</f>
        <v>Охорона навколишнього природного середовища</v>
      </c>
      <c r="C37" s="79" t="str">
        <f>'Анализ '!B36</f>
        <v>8300</v>
      </c>
      <c r="D37" s="39"/>
      <c r="E37" s="38">
        <f>'Анализ '!C36/1000</f>
        <v>0</v>
      </c>
      <c r="F37" s="38">
        <f>'Анализ '!D36/1000</f>
        <v>0</v>
      </c>
      <c r="G37" s="39" t="e">
        <f>F37/E37*100</f>
        <v>#DIV/0!</v>
      </c>
      <c r="H37" s="40">
        <f t="shared" si="0"/>
        <v>0</v>
      </c>
    </row>
    <row r="38" spans="2:8" s="21" customFormat="1" ht="12.75">
      <c r="B38" s="34" t="str">
        <f>'Анализ '!A37</f>
        <v>Міжбюджетні трансферти</v>
      </c>
      <c r="C38" s="79" t="str">
        <f>'Анализ '!B37</f>
        <v>9000</v>
      </c>
      <c r="D38" s="39">
        <v>1628.643</v>
      </c>
      <c r="E38" s="38">
        <f>'Анализ '!C37/1000</f>
        <v>2928.643</v>
      </c>
      <c r="F38" s="38">
        <f>'Анализ '!D37/1000</f>
        <v>2620.422</v>
      </c>
      <c r="G38" s="39"/>
      <c r="H38" s="40">
        <f t="shared" si="0"/>
        <v>0.9285083899575226</v>
      </c>
    </row>
    <row r="39" spans="2:8" s="18" customFormat="1" ht="12.75">
      <c r="B39" s="34" t="str">
        <f>'Анализ '!A38</f>
        <v>Итого </v>
      </c>
      <c r="C39" s="37"/>
      <c r="D39" s="39">
        <f>SUM(D30:D38)+D11+D12+D13+D14</f>
        <v>264923.94100000005</v>
      </c>
      <c r="E39" s="39">
        <f>SUM(E30:E38)+E11+E12+E13+E14</f>
        <v>292428.30399999995</v>
      </c>
      <c r="F39" s="39">
        <f>SUM(F30:F38)+F11+F12+F13+F14</f>
        <v>282218.45148</v>
      </c>
      <c r="G39" s="39">
        <f>F39/E39*100</f>
        <v>96.50859633614674</v>
      </c>
      <c r="H39" s="40">
        <f t="shared" si="0"/>
        <v>100</v>
      </c>
    </row>
    <row r="40" spans="2:8" s="18" customFormat="1" ht="12.75">
      <c r="B40" s="34"/>
      <c r="C40" s="37"/>
      <c r="D40" s="41"/>
      <c r="E40" s="42"/>
      <c r="F40" s="42"/>
      <c r="G40" s="39"/>
      <c r="H40" s="40"/>
    </row>
    <row r="41" spans="2:8" s="18" customFormat="1" ht="38.25">
      <c r="B41" s="34" t="str">
        <f>'Анализ '!A40</f>
        <v>Видатки на соціальний захист населення , що здійснюються за рахунок коштів з державної субвенції</v>
      </c>
      <c r="C41" s="37"/>
      <c r="D41" s="39">
        <f>SUM(D42:D46)</f>
        <v>326048</v>
      </c>
      <c r="E41" s="39">
        <f>SUM(E42:E46)</f>
        <v>302303.35307</v>
      </c>
      <c r="F41" s="39">
        <f>SUM(F42:F46)</f>
        <v>301528.65127000003</v>
      </c>
      <c r="G41" s="39">
        <f aca="true" t="shared" si="3" ref="G41:G46">F41/E41*100</f>
        <v>99.74373363969251</v>
      </c>
      <c r="H41" s="81">
        <f>H42+H43+H45++H46</f>
        <v>99.57399238692918</v>
      </c>
    </row>
    <row r="42" spans="2:8" s="18" customFormat="1" ht="38.25">
      <c r="B42" s="34" t="str">
        <f>'Анализ '!A41</f>
        <v>Пільги окремих категорям населення на оплату житлово - комунальних послуг</v>
      </c>
      <c r="C42" s="79" t="str">
        <f>'Анализ '!B41</f>
        <v>3011</v>
      </c>
      <c r="D42" s="41">
        <v>4410</v>
      </c>
      <c r="E42" s="45">
        <f>'Анализ '!C41/1000</f>
        <v>7964.76486</v>
      </c>
      <c r="F42" s="45">
        <f>'Анализ '!D41/1000</f>
        <v>7964.76486</v>
      </c>
      <c r="G42" s="41">
        <f t="shared" si="3"/>
        <v>100</v>
      </c>
      <c r="H42" s="41">
        <f>F42/F41*100</f>
        <v>2.6414620389980956</v>
      </c>
    </row>
    <row r="43" spans="2:8" s="18" customFormat="1" ht="38.25">
      <c r="B43" s="34" t="str">
        <f>'Анализ '!A42</f>
        <v>Субсидії населенню на відшкодування витрат на оплату житлово - комунальних послуг</v>
      </c>
      <c r="C43" s="79" t="str">
        <f>'Анализ '!B42</f>
        <v>3012</v>
      </c>
      <c r="D43" s="41">
        <v>208104.4</v>
      </c>
      <c r="E43" s="45">
        <f>'Анализ '!C42/1000</f>
        <v>198338.18821000002</v>
      </c>
      <c r="F43" s="45">
        <f>'Анализ '!D42/1000</f>
        <v>198338.18821000002</v>
      </c>
      <c r="G43" s="41">
        <f t="shared" si="3"/>
        <v>100</v>
      </c>
      <c r="H43" s="41">
        <f>F43/F41*100</f>
        <v>65.77755957008563</v>
      </c>
    </row>
    <row r="44" spans="2:8" s="18" customFormat="1" ht="38.25">
      <c r="B44" s="34" t="str">
        <f>'Анализ '!A43</f>
        <v>Пільги та субсидії населенню на придбання твердого палива та скрапленого газу</v>
      </c>
      <c r="C44" s="79" t="str">
        <f>'Анализ '!B43</f>
        <v>3020</v>
      </c>
      <c r="D44" s="41">
        <f>95+1245</f>
        <v>1340</v>
      </c>
      <c r="E44" s="45">
        <f>'Анализ '!C43/1000</f>
        <v>1300</v>
      </c>
      <c r="F44" s="45">
        <f>'Анализ '!D43/1000</f>
        <v>1284.53501</v>
      </c>
      <c r="G44" s="41">
        <f>F44/E44*100</f>
        <v>98.81038538461539</v>
      </c>
      <c r="H44" s="41">
        <f>F44/F41*100</f>
        <v>0.42600761307083196</v>
      </c>
    </row>
    <row r="45" spans="2:8" s="18" customFormat="1" ht="89.25">
      <c r="B45" s="34" t="str">
        <f>'Анализ '!A44</f>
        <v>Виплата допомоги сім`ям з дітьми, малозабезпеченим сім`ям, інвалідам з дитинства, дітям-інвалідам, тимчасової ержавної допомоги дітям та допомоги по догляду за інвалідами I чи II групи внаслідок психічного захворювання</v>
      </c>
      <c r="C45" s="79" t="str">
        <f>'Анализ '!B44</f>
        <v>3040, 3080</v>
      </c>
      <c r="D45" s="41">
        <f>1273.1+90+30000.6+7500+18000.3+245.7+25494+22014.5+3503+1901.9+1001+2</f>
        <v>111026.09999999999</v>
      </c>
      <c r="E45" s="45">
        <f>'Анализ '!C44/1000</f>
        <v>93288.4</v>
      </c>
      <c r="F45" s="45">
        <f>'Анализ '!D44/1000</f>
        <v>92532.75025</v>
      </c>
      <c r="G45" s="41">
        <f t="shared" si="3"/>
        <v>99.18998530363903</v>
      </c>
      <c r="H45" s="41">
        <f>F45/F41*100</f>
        <v>30.68787986158659</v>
      </c>
    </row>
    <row r="46" spans="2:8" s="18" customFormat="1" ht="25.5">
      <c r="B46" s="34" t="str">
        <f>'Анализ '!A45</f>
        <v>Дитячі будинки (в т.ч. сімейного типу, прийомні сім’ї)</v>
      </c>
      <c r="C46" s="79" t="str">
        <f>'Анализ '!B45</f>
        <v>3230</v>
      </c>
      <c r="D46" s="59">
        <v>1167.5</v>
      </c>
      <c r="E46" s="45">
        <f>'Анализ '!C45/1000</f>
        <v>1412</v>
      </c>
      <c r="F46" s="45">
        <f>'Анализ '!D45/1000</f>
        <v>1408.41294</v>
      </c>
      <c r="G46" s="41">
        <f t="shared" si="3"/>
        <v>99.74595892351275</v>
      </c>
      <c r="H46" s="41">
        <f>F46/F41*100</f>
        <v>0.4670909162588514</v>
      </c>
    </row>
    <row r="47" spans="2:8" s="18" customFormat="1" ht="12.75">
      <c r="B47" s="37" t="s">
        <v>15</v>
      </c>
      <c r="C47" s="37"/>
      <c r="D47" s="87">
        <f>D39+D41</f>
        <v>590971.9410000001</v>
      </c>
      <c r="E47" s="43">
        <f>E39+E41</f>
        <v>594731.65707</v>
      </c>
      <c r="F47" s="43">
        <f>F39+F41</f>
        <v>583747.1027500001</v>
      </c>
      <c r="G47" s="39">
        <f>F47/E47*100</f>
        <v>98.15302343680236</v>
      </c>
      <c r="H47" s="37"/>
    </row>
    <row r="48" spans="2:8" s="18" customFormat="1" ht="12.75">
      <c r="B48" s="37"/>
      <c r="C48" s="37"/>
      <c r="D48" s="87"/>
      <c r="E48" s="44"/>
      <c r="F48" s="38"/>
      <c r="G48" s="39"/>
      <c r="H48" s="37"/>
    </row>
    <row r="49" spans="2:8" s="18" customFormat="1" ht="12.75">
      <c r="B49" s="37" t="s">
        <v>18</v>
      </c>
      <c r="C49" s="37"/>
      <c r="D49" s="87">
        <v>12200.086</v>
      </c>
      <c r="E49" s="44">
        <f>'Анализ '!H46/1000</f>
        <v>93237.61004000003</v>
      </c>
      <c r="F49" s="44">
        <f>'Анализ '!I46/1000</f>
        <v>69896.77079</v>
      </c>
      <c r="G49" s="39"/>
      <c r="H49" s="37"/>
    </row>
    <row r="50" spans="2:8" ht="12.75">
      <c r="B50" s="42" t="s">
        <v>44</v>
      </c>
      <c r="C50" s="42"/>
      <c r="D50" s="42"/>
      <c r="E50" s="41">
        <f>'Анализ '!H40/1000</f>
        <v>0</v>
      </c>
      <c r="F50" s="41">
        <f>'Анализ '!I40/1000</f>
        <v>0</v>
      </c>
      <c r="G50" s="42"/>
      <c r="H50" s="42"/>
    </row>
    <row r="52" spans="2:6" ht="12.75">
      <c r="B52" t="s">
        <v>24</v>
      </c>
      <c r="D52" s="60"/>
      <c r="F52" t="s">
        <v>103</v>
      </c>
    </row>
    <row r="53" spans="5:6" ht="12.75">
      <c r="E53" s="29"/>
      <c r="F53" s="29"/>
    </row>
    <row r="54" spans="5:6" ht="12.75">
      <c r="E54" s="30"/>
      <c r="F54" s="30"/>
    </row>
    <row r="55" spans="2:6" ht="12.75">
      <c r="B55" s="16"/>
      <c r="D55" s="67"/>
      <c r="E55" s="62"/>
      <c r="F55" s="62"/>
    </row>
    <row r="56" ht="12.75">
      <c r="D56" s="67"/>
    </row>
    <row r="57" ht="12.75">
      <c r="D57" s="60"/>
    </row>
    <row r="62" ht="12.75">
      <c r="B62" s="16"/>
    </row>
  </sheetData>
  <sheetProtection/>
  <printOptions/>
  <pageMargins left="0.75" right="0.17" top="0.38" bottom="0.31" header="0.5" footer="0.5"/>
  <pageSetup horizontalDpi="600" verticalDpi="600" orientation="portrait" paperSize="9" scale="58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S64"/>
  <sheetViews>
    <sheetView tabSelected="1" zoomScalePageLayoutView="0" workbookViewId="0" topLeftCell="A3">
      <pane xSplit="2" ySplit="5" topLeftCell="C38" activePane="bottomRight" state="frozen"/>
      <selection pane="topLeft" activeCell="A3" sqref="A3"/>
      <selection pane="topRight" activeCell="C3" sqref="C3"/>
      <selection pane="bottomLeft" activeCell="A9" sqref="A9"/>
      <selection pane="bottomRight" activeCell="M46" sqref="M46:N46"/>
    </sheetView>
  </sheetViews>
  <sheetFormatPr defaultColWidth="9.00390625" defaultRowHeight="12.75"/>
  <cols>
    <col min="1" max="1" width="33.25390625" style="0" customWidth="1"/>
    <col min="2" max="2" width="17.125" style="0" customWidth="1"/>
    <col min="3" max="3" width="18.25390625" style="0" customWidth="1"/>
    <col min="4" max="4" width="18.125" style="0" customWidth="1"/>
    <col min="5" max="5" width="9.25390625" style="0" bestFit="1" customWidth="1"/>
    <col min="6" max="6" width="16.25390625" style="55" customWidth="1"/>
    <col min="7" max="7" width="15.75390625" style="0" bestFit="1" customWidth="1"/>
    <col min="8" max="8" width="17.75390625" style="0" customWidth="1"/>
    <col min="9" max="9" width="16.125" style="0" customWidth="1"/>
    <col min="10" max="10" width="9.75390625" style="0" customWidth="1"/>
    <col min="11" max="11" width="20.00390625" style="55" customWidth="1"/>
    <col min="12" max="12" width="15.75390625" style="8" customWidth="1"/>
    <col min="13" max="13" width="18.00390625" style="0" customWidth="1"/>
    <col min="14" max="14" width="18.875" style="0" customWidth="1"/>
    <col min="15" max="15" width="9.75390625" style="0" customWidth="1"/>
    <col min="16" max="16" width="18.125" style="55" customWidth="1"/>
    <col min="17" max="17" width="15.75390625" style="0" bestFit="1" customWidth="1"/>
    <col min="18" max="18" width="13.125" style="0" bestFit="1" customWidth="1"/>
  </cols>
  <sheetData>
    <row r="4" spans="2:7" ht="12.75">
      <c r="B4" s="1"/>
      <c r="C4" s="1"/>
      <c r="D4" s="1" t="s">
        <v>99</v>
      </c>
      <c r="E4" s="1"/>
      <c r="F4" s="46"/>
      <c r="G4" s="1"/>
    </row>
    <row r="5" spans="2:12" ht="12.75">
      <c r="B5" s="1"/>
      <c r="C5" s="1"/>
      <c r="D5" s="1"/>
      <c r="E5" s="1" t="s">
        <v>5</v>
      </c>
      <c r="F5" s="46"/>
      <c r="G5" s="1"/>
      <c r="L5" t="s">
        <v>22</v>
      </c>
    </row>
    <row r="6" spans="1:17" ht="12.75">
      <c r="A6" s="3"/>
      <c r="B6" s="3"/>
      <c r="C6" s="5" t="s">
        <v>19</v>
      </c>
      <c r="D6" s="6"/>
      <c r="E6" s="7"/>
      <c r="F6" s="47"/>
      <c r="G6" s="7"/>
      <c r="H6" s="5" t="s">
        <v>20</v>
      </c>
      <c r="I6" s="6"/>
      <c r="J6" s="7"/>
      <c r="K6" s="47"/>
      <c r="L6" s="9"/>
      <c r="M6" s="5" t="s">
        <v>21</v>
      </c>
      <c r="N6" s="6"/>
      <c r="O6" s="7"/>
      <c r="P6" s="47"/>
      <c r="Q6" s="4"/>
    </row>
    <row r="7" spans="1:17" ht="51" customHeight="1">
      <c r="A7" s="65" t="s">
        <v>62</v>
      </c>
      <c r="B7" s="65" t="s">
        <v>60</v>
      </c>
      <c r="C7" s="66" t="s">
        <v>35</v>
      </c>
      <c r="D7" s="64" t="s">
        <v>34</v>
      </c>
      <c r="E7" s="64" t="s">
        <v>23</v>
      </c>
      <c r="F7" s="63" t="s">
        <v>33</v>
      </c>
      <c r="G7" s="66" t="s">
        <v>101</v>
      </c>
      <c r="H7" s="66" t="s">
        <v>35</v>
      </c>
      <c r="I7" s="64" t="s">
        <v>34</v>
      </c>
      <c r="J7" s="64" t="s">
        <v>23</v>
      </c>
      <c r="K7" s="63" t="s">
        <v>33</v>
      </c>
      <c r="L7" s="66" t="s">
        <v>101</v>
      </c>
      <c r="M7" s="66" t="s">
        <v>35</v>
      </c>
      <c r="N7" s="64" t="s">
        <v>34</v>
      </c>
      <c r="O7" s="64" t="s">
        <v>23</v>
      </c>
      <c r="P7" s="63" t="s">
        <v>33</v>
      </c>
      <c r="Q7" s="66" t="s">
        <v>101</v>
      </c>
    </row>
    <row r="8" spans="1:17" ht="12.75">
      <c r="A8" s="2"/>
      <c r="B8" s="2"/>
      <c r="C8" s="2"/>
      <c r="D8" s="2"/>
      <c r="E8" s="2"/>
      <c r="F8" s="48"/>
      <c r="G8" s="2"/>
      <c r="H8" s="2"/>
      <c r="I8" s="2"/>
      <c r="J8" s="2"/>
      <c r="K8" s="48"/>
      <c r="L8" s="10"/>
      <c r="M8" s="2"/>
      <c r="N8" s="2"/>
      <c r="O8" s="2"/>
      <c r="P8" s="48"/>
      <c r="Q8" s="2"/>
    </row>
    <row r="9" spans="1:19" s="15" customFormat="1" ht="12.75">
      <c r="A9" s="34" t="s">
        <v>53</v>
      </c>
      <c r="B9" s="73" t="s">
        <v>48</v>
      </c>
      <c r="C9" s="31">
        <v>35218613</v>
      </c>
      <c r="D9" s="13">
        <v>34522504.95</v>
      </c>
      <c r="E9" s="13">
        <f>D9/C9*100</f>
        <v>98.02346546128891</v>
      </c>
      <c r="F9" s="49">
        <v>25671158.22</v>
      </c>
      <c r="G9" s="13">
        <f>D9/F9*100</f>
        <v>134.47973267954876</v>
      </c>
      <c r="H9" s="13">
        <v>20149096.76</v>
      </c>
      <c r="I9" s="13">
        <v>9490270.55</v>
      </c>
      <c r="J9" s="13">
        <f>I9/H9*100</f>
        <v>47.10022817916132</v>
      </c>
      <c r="K9" s="49">
        <v>202159.25</v>
      </c>
      <c r="L9" s="13">
        <f>I9/K9*100</f>
        <v>4694.45278907594</v>
      </c>
      <c r="M9" s="13">
        <f aca="true" t="shared" si="0" ref="M9:N12">C9+H9</f>
        <v>55367709.760000005</v>
      </c>
      <c r="N9" s="13">
        <f>D9+I9</f>
        <v>44012775.5</v>
      </c>
      <c r="O9" s="13">
        <f>N9/M9*100</f>
        <v>79.49177542430463</v>
      </c>
      <c r="P9" s="49">
        <f>F9+K9</f>
        <v>25873317.47</v>
      </c>
      <c r="Q9" s="13">
        <f>N9/P9*100</f>
        <v>170.10874446631217</v>
      </c>
      <c r="R9" s="24"/>
      <c r="S9" s="24"/>
    </row>
    <row r="10" spans="1:19" s="15" customFormat="1" ht="12.75">
      <c r="A10" s="34" t="s">
        <v>12</v>
      </c>
      <c r="B10" s="73" t="s">
        <v>49</v>
      </c>
      <c r="C10" s="31">
        <v>125964359</v>
      </c>
      <c r="D10" s="31">
        <v>119578338.06</v>
      </c>
      <c r="E10" s="13">
        <f>D10/C10*100</f>
        <v>94.93029537029598</v>
      </c>
      <c r="F10" s="49">
        <v>102638769.41</v>
      </c>
      <c r="G10" s="13">
        <f>D10/F10*100</f>
        <v>116.50406444599246</v>
      </c>
      <c r="H10" s="13">
        <v>16895546.62</v>
      </c>
      <c r="I10" s="13">
        <v>15690249.71</v>
      </c>
      <c r="J10" s="13">
        <f>I10/H10*100</f>
        <v>92.86618576416322</v>
      </c>
      <c r="K10" s="49">
        <v>6922840.22</v>
      </c>
      <c r="L10" s="13">
        <f>I10/K10*100</f>
        <v>226.64468933821502</v>
      </c>
      <c r="M10" s="13">
        <f t="shared" si="0"/>
        <v>142859905.62</v>
      </c>
      <c r="N10" s="13">
        <f t="shared" si="0"/>
        <v>135268587.77</v>
      </c>
      <c r="O10" s="13">
        <f>N10/M10*100</f>
        <v>94.68618027076646</v>
      </c>
      <c r="P10" s="49">
        <f aca="true" t="shared" si="1" ref="P10:P37">F10+K10</f>
        <v>109561609.63</v>
      </c>
      <c r="Q10" s="13">
        <f>N10/P10*100</f>
        <v>123.46349074900864</v>
      </c>
      <c r="R10" s="24"/>
      <c r="S10" s="24"/>
    </row>
    <row r="11" spans="1:19" s="15" customFormat="1" ht="12.75">
      <c r="A11" s="34" t="s">
        <v>13</v>
      </c>
      <c r="B11" s="73" t="s">
        <v>50</v>
      </c>
      <c r="C11" s="31">
        <v>79947022</v>
      </c>
      <c r="D11" s="13">
        <v>78985147.2</v>
      </c>
      <c r="E11" s="13">
        <f>D11/C11*100</f>
        <v>98.79685975044823</v>
      </c>
      <c r="F11" s="49">
        <v>85726026.66</v>
      </c>
      <c r="G11" s="13">
        <f>D11/F11*100</f>
        <v>92.13671772432058</v>
      </c>
      <c r="H11" s="13">
        <v>9551930.12</v>
      </c>
      <c r="I11" s="13">
        <v>9092254.79</v>
      </c>
      <c r="J11" s="13">
        <f>I11/H11*100</f>
        <v>95.1876183742433</v>
      </c>
      <c r="K11" s="49">
        <v>6488691.32</v>
      </c>
      <c r="L11" s="13">
        <f>I11/K11*100</f>
        <v>140.1246313255043</v>
      </c>
      <c r="M11" s="13">
        <f t="shared" si="0"/>
        <v>89498952.12</v>
      </c>
      <c r="N11" s="13">
        <f t="shared" si="0"/>
        <v>88077401.99000001</v>
      </c>
      <c r="O11" s="13">
        <f>N11/M11*100</f>
        <v>98.4116572358367</v>
      </c>
      <c r="P11" s="49">
        <f t="shared" si="1"/>
        <v>92214717.97999999</v>
      </c>
      <c r="Q11" s="13">
        <f>N11/P11*100</f>
        <v>95.51338866438077</v>
      </c>
      <c r="R11" s="24"/>
      <c r="S11" s="24"/>
    </row>
    <row r="12" spans="1:19" s="15" customFormat="1" ht="25.5">
      <c r="A12" s="34" t="s">
        <v>37</v>
      </c>
      <c r="B12" s="73" t="s">
        <v>51</v>
      </c>
      <c r="C12" s="31">
        <f>SUM(C13:C27)</f>
        <v>14562540</v>
      </c>
      <c r="D12" s="31">
        <f>SUM(D13:D27)</f>
        <v>13815442.1</v>
      </c>
      <c r="E12" s="13">
        <f>D12/C12*100</f>
        <v>94.86972808315033</v>
      </c>
      <c r="F12" s="49">
        <f>SUM(F13:F27)</f>
        <v>11981467.92</v>
      </c>
      <c r="G12" s="13">
        <f>D12/F12*100</f>
        <v>115.30675700377788</v>
      </c>
      <c r="H12" s="31">
        <f>SUM(H13:H27)</f>
        <v>402966.30999999994</v>
      </c>
      <c r="I12" s="31">
        <f>SUM(I13:I27)</f>
        <v>252867.16</v>
      </c>
      <c r="J12" s="13">
        <f>I12/H12*100</f>
        <v>62.75143944415602</v>
      </c>
      <c r="K12" s="49">
        <f>SUM(K13:K27)</f>
        <v>209939.21000000002</v>
      </c>
      <c r="L12" s="13">
        <f>I12/K12*100</f>
        <v>120.44780010365857</v>
      </c>
      <c r="M12" s="31">
        <f>SUM(M13:M27)</f>
        <v>14965506.309999999</v>
      </c>
      <c r="N12" s="13">
        <f t="shared" si="0"/>
        <v>14068309.26</v>
      </c>
      <c r="O12" s="13">
        <f>N12/M12*100</f>
        <v>94.00490012556081</v>
      </c>
      <c r="P12" s="49">
        <f t="shared" si="1"/>
        <v>12191407.13</v>
      </c>
      <c r="Q12" s="13">
        <f>N12/P12*100</f>
        <v>115.39528710661638</v>
      </c>
      <c r="R12" s="24"/>
      <c r="S12" s="24"/>
    </row>
    <row r="13" spans="1:19" s="23" customFormat="1" ht="12.75">
      <c r="A13" s="35" t="s">
        <v>43</v>
      </c>
      <c r="B13" s="82" t="s">
        <v>67</v>
      </c>
      <c r="C13" s="83">
        <f>29374+90000+500000+75000+5358000</f>
        <v>6052374</v>
      </c>
      <c r="D13" s="83">
        <f>28430.13+80453.66+500000+5358000</f>
        <v>5966883.79</v>
      </c>
      <c r="E13" s="22">
        <f aca="true" t="shared" si="2" ref="E13:E35">D13/C13*100</f>
        <v>98.58749294078653</v>
      </c>
      <c r="F13" s="50">
        <v>5478665.78</v>
      </c>
      <c r="G13" s="22">
        <f aca="true" t="shared" si="3" ref="G13:G27">D13/F13*100</f>
        <v>108.91125740471796</v>
      </c>
      <c r="H13" s="22"/>
      <c r="I13" s="22"/>
      <c r="J13" s="22"/>
      <c r="K13" s="50"/>
      <c r="L13" s="22"/>
      <c r="M13" s="22">
        <f aca="true" t="shared" si="4" ref="M13:N15">H13+C13</f>
        <v>6052374</v>
      </c>
      <c r="N13" s="22">
        <f t="shared" si="4"/>
        <v>5966883.79</v>
      </c>
      <c r="O13" s="22">
        <f aca="true" t="shared" si="5" ref="O13:O27">N13/M13*100</f>
        <v>98.58749294078653</v>
      </c>
      <c r="P13" s="49">
        <f t="shared" si="1"/>
        <v>5478665.78</v>
      </c>
      <c r="Q13" s="22">
        <f>N13/P13*100</f>
        <v>108.91125740471796</v>
      </c>
      <c r="R13" s="24"/>
      <c r="S13" s="24"/>
    </row>
    <row r="14" spans="1:19" s="23" customFormat="1" ht="38.25">
      <c r="A14" s="35" t="s">
        <v>97</v>
      </c>
      <c r="B14" s="82" t="s">
        <v>98</v>
      </c>
      <c r="C14" s="83">
        <v>17200</v>
      </c>
      <c r="D14" s="83">
        <v>16501.83</v>
      </c>
      <c r="E14" s="22">
        <f t="shared" si="2"/>
        <v>95.94087209302327</v>
      </c>
      <c r="F14" s="50"/>
      <c r="G14" s="22"/>
      <c r="H14" s="22"/>
      <c r="I14" s="22"/>
      <c r="J14" s="22"/>
      <c r="K14" s="50"/>
      <c r="L14" s="22"/>
      <c r="M14" s="22">
        <f t="shared" si="4"/>
        <v>17200</v>
      </c>
      <c r="N14" s="22">
        <f t="shared" si="4"/>
        <v>16501.83</v>
      </c>
      <c r="O14" s="22">
        <f>N14/M14*100</f>
        <v>95.94087209302327</v>
      </c>
      <c r="P14" s="49"/>
      <c r="Q14" s="22"/>
      <c r="R14" s="24"/>
      <c r="S14" s="24"/>
    </row>
    <row r="15" spans="1:19" s="23" customFormat="1" ht="38.25">
      <c r="A15" s="35" t="s">
        <v>93</v>
      </c>
      <c r="B15" s="82" t="s">
        <v>94</v>
      </c>
      <c r="C15" s="83">
        <v>79700</v>
      </c>
      <c r="D15" s="83">
        <v>16695.36</v>
      </c>
      <c r="E15" s="22">
        <f t="shared" si="2"/>
        <v>20.947754077791718</v>
      </c>
      <c r="F15" s="50"/>
      <c r="G15" s="22"/>
      <c r="H15" s="22"/>
      <c r="I15" s="22"/>
      <c r="J15" s="22"/>
      <c r="K15" s="50"/>
      <c r="L15" s="22"/>
      <c r="M15" s="22">
        <f t="shared" si="4"/>
        <v>79700</v>
      </c>
      <c r="N15" s="22">
        <f t="shared" si="4"/>
        <v>16695.36</v>
      </c>
      <c r="O15" s="22">
        <f t="shared" si="5"/>
        <v>20.947754077791718</v>
      </c>
      <c r="P15" s="49"/>
      <c r="Q15" s="22"/>
      <c r="R15" s="24"/>
      <c r="S15" s="24"/>
    </row>
    <row r="16" spans="1:19" s="23" customFormat="1" ht="12.75">
      <c r="A16" s="35" t="s">
        <v>3</v>
      </c>
      <c r="B16" s="74" t="s">
        <v>52</v>
      </c>
      <c r="C16" s="32">
        <v>2655095</v>
      </c>
      <c r="D16" s="22">
        <v>2584714.67</v>
      </c>
      <c r="E16" s="22">
        <f t="shared" si="2"/>
        <v>97.34923496146088</v>
      </c>
      <c r="F16" s="50">
        <v>2355477.78</v>
      </c>
      <c r="G16" s="22">
        <f>D16/F16*100</f>
        <v>109.73207609710502</v>
      </c>
      <c r="H16" s="22">
        <v>42084.6</v>
      </c>
      <c r="I16" s="22">
        <v>37786.56</v>
      </c>
      <c r="J16" s="22">
        <f>I16/H16*100</f>
        <v>89.78714304044709</v>
      </c>
      <c r="K16" s="50">
        <v>12909.11</v>
      </c>
      <c r="L16" s="22">
        <f>I16/K16*100</f>
        <v>292.7123558479244</v>
      </c>
      <c r="M16" s="22">
        <f>C16+H16</f>
        <v>2697179.6</v>
      </c>
      <c r="N16" s="22">
        <f>D16+I16</f>
        <v>2622501.23</v>
      </c>
      <c r="O16" s="22">
        <f t="shared" si="5"/>
        <v>97.23124222057737</v>
      </c>
      <c r="P16" s="49">
        <f t="shared" si="1"/>
        <v>2368386.8899999997</v>
      </c>
      <c r="Q16" s="22">
        <f>N16/P16*100</f>
        <v>110.72942689697123</v>
      </c>
      <c r="R16" s="24"/>
      <c r="S16" s="24"/>
    </row>
    <row r="17" spans="1:19" s="27" customFormat="1" ht="25.5">
      <c r="A17" s="35" t="s">
        <v>29</v>
      </c>
      <c r="B17" s="75" t="s">
        <v>54</v>
      </c>
      <c r="C17" s="25">
        <v>1377314</v>
      </c>
      <c r="D17" s="26">
        <v>1275225.64</v>
      </c>
      <c r="E17" s="26">
        <f t="shared" si="2"/>
        <v>92.58786594777952</v>
      </c>
      <c r="F17" s="50">
        <v>1155135.48</v>
      </c>
      <c r="G17" s="22">
        <f t="shared" si="3"/>
        <v>110.39619698981109</v>
      </c>
      <c r="H17" s="26">
        <v>309920.11</v>
      </c>
      <c r="I17" s="26">
        <v>164140</v>
      </c>
      <c r="J17" s="22">
        <f>I17/H17*100</f>
        <v>52.96203592596815</v>
      </c>
      <c r="K17" s="50">
        <v>186850.1</v>
      </c>
      <c r="L17" s="22">
        <f>I17/K17*100</f>
        <v>87.8458186535624</v>
      </c>
      <c r="M17" s="22">
        <f aca="true" t="shared" si="6" ref="M17:N21">C17+H17</f>
        <v>1687234.1099999999</v>
      </c>
      <c r="N17" s="22">
        <f t="shared" si="6"/>
        <v>1439365.64</v>
      </c>
      <c r="O17" s="22">
        <f t="shared" si="5"/>
        <v>85.30918332370604</v>
      </c>
      <c r="P17" s="49">
        <f t="shared" si="1"/>
        <v>1341985.58</v>
      </c>
      <c r="Q17" s="22">
        <f aca="true" t="shared" si="7" ref="Q17:Q27">N17/P17*100</f>
        <v>107.25641627237155</v>
      </c>
      <c r="R17" s="24"/>
      <c r="S17" s="24"/>
    </row>
    <row r="18" spans="1:19" s="23" customFormat="1" ht="28.5" customHeight="1">
      <c r="A18" s="35" t="s">
        <v>27</v>
      </c>
      <c r="B18" s="74" t="s">
        <v>86</v>
      </c>
      <c r="C18" s="32">
        <v>24000</v>
      </c>
      <c r="D18" s="22">
        <v>24000</v>
      </c>
      <c r="E18" s="22">
        <f t="shared" si="2"/>
        <v>100</v>
      </c>
      <c r="F18" s="50">
        <v>15000</v>
      </c>
      <c r="G18" s="22">
        <f t="shared" si="3"/>
        <v>160</v>
      </c>
      <c r="H18" s="22"/>
      <c r="I18" s="22"/>
      <c r="J18" s="22"/>
      <c r="K18" s="50"/>
      <c r="L18" s="22"/>
      <c r="M18" s="22">
        <f t="shared" si="6"/>
        <v>24000</v>
      </c>
      <c r="N18" s="22">
        <f t="shared" si="6"/>
        <v>24000</v>
      </c>
      <c r="O18" s="22">
        <f t="shared" si="5"/>
        <v>100</v>
      </c>
      <c r="P18" s="49">
        <f t="shared" si="1"/>
        <v>15000</v>
      </c>
      <c r="Q18" s="22">
        <f t="shared" si="7"/>
        <v>160</v>
      </c>
      <c r="R18" s="24"/>
      <c r="S18" s="24"/>
    </row>
    <row r="19" spans="1:19" s="23" customFormat="1" ht="12.75">
      <c r="A19" s="35" t="s">
        <v>2</v>
      </c>
      <c r="B19" s="74" t="s">
        <v>68</v>
      </c>
      <c r="C19" s="32">
        <v>474323</v>
      </c>
      <c r="D19" s="22">
        <v>403364.44</v>
      </c>
      <c r="E19" s="22">
        <f t="shared" si="2"/>
        <v>85.04003390094935</v>
      </c>
      <c r="F19" s="51">
        <v>338065.4</v>
      </c>
      <c r="G19" s="22">
        <f t="shared" si="3"/>
        <v>119.3155052247287</v>
      </c>
      <c r="H19" s="22"/>
      <c r="I19" s="22"/>
      <c r="J19" s="22"/>
      <c r="K19" s="50"/>
      <c r="L19" s="22"/>
      <c r="M19" s="22">
        <f t="shared" si="6"/>
        <v>474323</v>
      </c>
      <c r="N19" s="22">
        <f t="shared" si="6"/>
        <v>403364.44</v>
      </c>
      <c r="O19" s="22">
        <f t="shared" si="5"/>
        <v>85.04003390094935</v>
      </c>
      <c r="P19" s="49">
        <f t="shared" si="1"/>
        <v>338065.4</v>
      </c>
      <c r="Q19" s="22">
        <f t="shared" si="7"/>
        <v>119.3155052247287</v>
      </c>
      <c r="R19" s="24"/>
      <c r="S19" s="24"/>
    </row>
    <row r="20" spans="1:19" s="23" customFormat="1" ht="12.75">
      <c r="A20" s="35" t="s">
        <v>25</v>
      </c>
      <c r="B20" s="74" t="s">
        <v>69</v>
      </c>
      <c r="C20" s="32">
        <v>6000</v>
      </c>
      <c r="D20" s="22">
        <v>6000</v>
      </c>
      <c r="E20" s="22">
        <f t="shared" si="2"/>
        <v>100</v>
      </c>
      <c r="F20" s="50">
        <v>2992</v>
      </c>
      <c r="G20" s="22"/>
      <c r="H20" s="22"/>
      <c r="I20" s="22"/>
      <c r="J20" s="22"/>
      <c r="K20" s="50"/>
      <c r="L20" s="22"/>
      <c r="M20" s="22">
        <f t="shared" si="6"/>
        <v>6000</v>
      </c>
      <c r="N20" s="22">
        <f t="shared" si="6"/>
        <v>6000</v>
      </c>
      <c r="O20" s="22">
        <f t="shared" si="5"/>
        <v>100</v>
      </c>
      <c r="P20" s="49">
        <f t="shared" si="1"/>
        <v>2992</v>
      </c>
      <c r="Q20" s="22"/>
      <c r="R20" s="24"/>
      <c r="S20" s="24"/>
    </row>
    <row r="21" spans="1:19" s="23" customFormat="1" ht="76.5">
      <c r="A21" s="35" t="s">
        <v>89</v>
      </c>
      <c r="B21" s="74" t="s">
        <v>90</v>
      </c>
      <c r="C21" s="32">
        <v>500000</v>
      </c>
      <c r="D21" s="22">
        <v>398040</v>
      </c>
      <c r="E21" s="22">
        <f t="shared" si="2"/>
        <v>79.608</v>
      </c>
      <c r="F21" s="50"/>
      <c r="G21" s="22"/>
      <c r="H21" s="22"/>
      <c r="I21" s="22"/>
      <c r="J21" s="22"/>
      <c r="K21" s="50"/>
      <c r="L21" s="22"/>
      <c r="M21" s="22">
        <f t="shared" si="6"/>
        <v>500000</v>
      </c>
      <c r="N21" s="22"/>
      <c r="O21" s="22">
        <f t="shared" si="5"/>
        <v>0</v>
      </c>
      <c r="P21" s="49"/>
      <c r="Q21" s="22"/>
      <c r="R21" s="24"/>
      <c r="S21" s="24"/>
    </row>
    <row r="22" spans="1:19" s="27" customFormat="1" ht="25.5">
      <c r="A22" s="35" t="s">
        <v>28</v>
      </c>
      <c r="B22" s="75" t="s">
        <v>70</v>
      </c>
      <c r="C22" s="25">
        <v>675111</v>
      </c>
      <c r="D22" s="26">
        <v>674416.48</v>
      </c>
      <c r="E22" s="22">
        <f t="shared" si="2"/>
        <v>99.89712506535962</v>
      </c>
      <c r="F22" s="50">
        <v>579591.53</v>
      </c>
      <c r="G22" s="22">
        <f t="shared" si="3"/>
        <v>116.36065144016166</v>
      </c>
      <c r="H22" s="26"/>
      <c r="I22" s="26"/>
      <c r="J22" s="22"/>
      <c r="K22" s="51"/>
      <c r="L22" s="22"/>
      <c r="M22" s="22">
        <f aca="true" t="shared" si="8" ref="M22:N25">C22+H22</f>
        <v>675111</v>
      </c>
      <c r="N22" s="22">
        <f t="shared" si="8"/>
        <v>674416.48</v>
      </c>
      <c r="O22" s="22">
        <f t="shared" si="5"/>
        <v>99.89712506535962</v>
      </c>
      <c r="P22" s="49">
        <f t="shared" si="1"/>
        <v>579591.53</v>
      </c>
      <c r="Q22" s="22">
        <f t="shared" si="7"/>
        <v>116.36065144016166</v>
      </c>
      <c r="R22" s="24"/>
      <c r="S22" s="24"/>
    </row>
    <row r="23" spans="1:19" s="27" customFormat="1" ht="63.75">
      <c r="A23" s="35" t="s">
        <v>95</v>
      </c>
      <c r="B23" s="75" t="s">
        <v>96</v>
      </c>
      <c r="C23" s="25">
        <v>8700</v>
      </c>
      <c r="D23" s="26">
        <v>8153.44</v>
      </c>
      <c r="E23" s="22">
        <f t="shared" si="2"/>
        <v>93.71770114942528</v>
      </c>
      <c r="F23" s="51"/>
      <c r="G23" s="22"/>
      <c r="H23" s="26"/>
      <c r="I23" s="26"/>
      <c r="J23" s="22"/>
      <c r="K23" s="51"/>
      <c r="L23" s="22"/>
      <c r="M23" s="22">
        <f t="shared" si="8"/>
        <v>8700</v>
      </c>
      <c r="N23" s="22">
        <f t="shared" si="8"/>
        <v>8153.44</v>
      </c>
      <c r="O23" s="22">
        <f t="shared" si="5"/>
        <v>93.71770114942528</v>
      </c>
      <c r="P23" s="49"/>
      <c r="Q23" s="22"/>
      <c r="R23" s="24"/>
      <c r="S23" s="24"/>
    </row>
    <row r="24" spans="1:19" s="27" customFormat="1" ht="101.25" customHeight="1">
      <c r="A24" s="35" t="s">
        <v>46</v>
      </c>
      <c r="B24" s="75" t="s">
        <v>71</v>
      </c>
      <c r="C24" s="25">
        <v>7600</v>
      </c>
      <c r="D24" s="26">
        <v>7582.42</v>
      </c>
      <c r="E24" s="26">
        <f t="shared" si="2"/>
        <v>99.76868421052632</v>
      </c>
      <c r="F24" s="51">
        <v>1022</v>
      </c>
      <c r="G24" s="22"/>
      <c r="H24" s="26"/>
      <c r="I24" s="26"/>
      <c r="J24" s="22"/>
      <c r="K24" s="51"/>
      <c r="L24" s="22"/>
      <c r="M24" s="22">
        <f t="shared" si="8"/>
        <v>7600</v>
      </c>
      <c r="N24" s="22">
        <f t="shared" si="8"/>
        <v>7582.42</v>
      </c>
      <c r="O24" s="22">
        <f t="shared" si="5"/>
        <v>99.76868421052632</v>
      </c>
      <c r="P24" s="49">
        <f t="shared" si="1"/>
        <v>1022</v>
      </c>
      <c r="Q24" s="22"/>
      <c r="R24" s="24"/>
      <c r="S24" s="24"/>
    </row>
    <row r="25" spans="1:19" s="23" customFormat="1" ht="12.75">
      <c r="A25" s="35" t="s">
        <v>14</v>
      </c>
      <c r="B25" s="74" t="s">
        <v>72</v>
      </c>
      <c r="C25" s="32">
        <v>584739</v>
      </c>
      <c r="D25" s="22">
        <v>581738.84</v>
      </c>
      <c r="E25" s="22">
        <f t="shared" si="2"/>
        <v>99.48692322557585</v>
      </c>
      <c r="F25" s="51">
        <v>367859</v>
      </c>
      <c r="G25" s="22">
        <f t="shared" si="3"/>
        <v>158.14179889577255</v>
      </c>
      <c r="H25" s="22">
        <v>16000</v>
      </c>
      <c r="I25" s="22">
        <v>16000</v>
      </c>
      <c r="J25" s="22">
        <f>I25/H25*100</f>
        <v>100</v>
      </c>
      <c r="K25" s="50"/>
      <c r="L25" s="22" t="e">
        <f>I25/K25*100</f>
        <v>#DIV/0!</v>
      </c>
      <c r="M25" s="22">
        <f t="shared" si="8"/>
        <v>600739</v>
      </c>
      <c r="N25" s="22">
        <f t="shared" si="8"/>
        <v>597738.84</v>
      </c>
      <c r="O25" s="22">
        <f t="shared" si="5"/>
        <v>99.50058844190238</v>
      </c>
      <c r="P25" s="49">
        <f t="shared" si="1"/>
        <v>367859</v>
      </c>
      <c r="Q25" s="22">
        <f t="shared" si="7"/>
        <v>162.4912915002759</v>
      </c>
      <c r="R25" s="24"/>
      <c r="S25" s="24"/>
    </row>
    <row r="26" spans="1:19" s="23" customFormat="1" ht="38.25">
      <c r="A26" s="35" t="s">
        <v>74</v>
      </c>
      <c r="B26" s="74" t="s">
        <v>76</v>
      </c>
      <c r="C26" s="32">
        <v>1461495</v>
      </c>
      <c r="D26" s="22">
        <v>1437469.63</v>
      </c>
      <c r="E26" s="22">
        <f t="shared" si="2"/>
        <v>98.35611001063978</v>
      </c>
      <c r="F26" s="50">
        <v>1279353.25</v>
      </c>
      <c r="G26" s="22">
        <f t="shared" si="3"/>
        <v>112.35908690582525</v>
      </c>
      <c r="H26" s="22">
        <v>34961.6</v>
      </c>
      <c r="I26" s="22">
        <v>34940.6</v>
      </c>
      <c r="J26" s="22">
        <f>I26/H26*100</f>
        <v>99.93993409912589</v>
      </c>
      <c r="K26" s="51">
        <v>10180</v>
      </c>
      <c r="L26" s="22">
        <f>I26/K26*100</f>
        <v>343.2278978388998</v>
      </c>
      <c r="M26" s="22">
        <f aca="true" t="shared" si="9" ref="M26:N30">C26+H26</f>
        <v>1496456.6</v>
      </c>
      <c r="N26" s="22">
        <f t="shared" si="9"/>
        <v>1472410.23</v>
      </c>
      <c r="O26" s="22">
        <f t="shared" si="5"/>
        <v>98.39311277052738</v>
      </c>
      <c r="P26" s="49">
        <f t="shared" si="1"/>
        <v>1289533.25</v>
      </c>
      <c r="Q26" s="22">
        <f t="shared" si="7"/>
        <v>114.18164130316144</v>
      </c>
      <c r="R26" s="24"/>
      <c r="S26" s="24"/>
    </row>
    <row r="27" spans="1:19" s="23" customFormat="1" ht="25.5">
      <c r="A27" s="35" t="s">
        <v>75</v>
      </c>
      <c r="B27" s="74" t="s">
        <v>77</v>
      </c>
      <c r="C27" s="32">
        <v>638889</v>
      </c>
      <c r="D27" s="22">
        <v>414655.56</v>
      </c>
      <c r="E27" s="22">
        <f t="shared" si="2"/>
        <v>64.90259810389598</v>
      </c>
      <c r="F27" s="50">
        <v>408305.7</v>
      </c>
      <c r="G27" s="22">
        <f t="shared" si="3"/>
        <v>101.55517299905439</v>
      </c>
      <c r="H27" s="22"/>
      <c r="I27" s="22"/>
      <c r="J27" s="22"/>
      <c r="K27" s="50"/>
      <c r="L27" s="22"/>
      <c r="M27" s="22">
        <f t="shared" si="9"/>
        <v>638889</v>
      </c>
      <c r="N27" s="22">
        <f t="shared" si="9"/>
        <v>414655.56</v>
      </c>
      <c r="O27" s="22">
        <f t="shared" si="5"/>
        <v>64.90259810389598</v>
      </c>
      <c r="P27" s="49">
        <f t="shared" si="1"/>
        <v>408305.7</v>
      </c>
      <c r="Q27" s="22">
        <f t="shared" si="7"/>
        <v>101.55517299905439</v>
      </c>
      <c r="R27" s="24"/>
      <c r="S27" s="24"/>
    </row>
    <row r="28" spans="1:19" s="15" customFormat="1" ht="12.75">
      <c r="A28" s="34" t="s">
        <v>4</v>
      </c>
      <c r="B28" s="73" t="s">
        <v>55</v>
      </c>
      <c r="C28" s="31">
        <v>9745129</v>
      </c>
      <c r="D28" s="13">
        <v>9199614.06</v>
      </c>
      <c r="E28" s="13">
        <f t="shared" si="2"/>
        <v>94.40217836008124</v>
      </c>
      <c r="F28" s="88">
        <v>10044788.2</v>
      </c>
      <c r="G28" s="13">
        <f aca="true" t="shared" si="10" ref="G28:G37">D28/F28*100</f>
        <v>91.5859436438889</v>
      </c>
      <c r="H28" s="13">
        <v>3433942.82</v>
      </c>
      <c r="I28" s="13">
        <v>3202108.16</v>
      </c>
      <c r="J28" s="13">
        <f>I28/H28*100</f>
        <v>93.24873266235693</v>
      </c>
      <c r="K28" s="88">
        <v>3589798.61</v>
      </c>
      <c r="L28" s="13">
        <f>I28/K28*100</f>
        <v>89.20021727904118</v>
      </c>
      <c r="M28" s="13">
        <f t="shared" si="9"/>
        <v>13179071.82</v>
      </c>
      <c r="N28" s="13">
        <f t="shared" si="9"/>
        <v>12401722.22</v>
      </c>
      <c r="O28" s="13">
        <f aca="true" t="shared" si="11" ref="O28:O36">N28/M28*100</f>
        <v>94.10163621067512</v>
      </c>
      <c r="P28" s="49">
        <f t="shared" si="1"/>
        <v>13634586.809999999</v>
      </c>
      <c r="Q28" s="13">
        <f aca="true" t="shared" si="12" ref="Q28:Q37">N28/P28*100</f>
        <v>90.95781480451039</v>
      </c>
      <c r="R28" s="24"/>
      <c r="S28" s="24"/>
    </row>
    <row r="29" spans="1:19" s="15" customFormat="1" ht="12.75">
      <c r="A29" s="34" t="s">
        <v>31</v>
      </c>
      <c r="B29" s="73" t="s">
        <v>56</v>
      </c>
      <c r="C29" s="31">
        <v>4470392</v>
      </c>
      <c r="D29" s="13">
        <v>4301071.07</v>
      </c>
      <c r="E29" s="13">
        <f t="shared" si="2"/>
        <v>96.21239188867554</v>
      </c>
      <c r="F29" s="49">
        <v>3112355.83</v>
      </c>
      <c r="G29" s="13">
        <f t="shared" si="10"/>
        <v>138.19342340428986</v>
      </c>
      <c r="H29" s="13">
        <v>205677.97</v>
      </c>
      <c r="I29" s="13">
        <v>198529.43</v>
      </c>
      <c r="J29" s="13">
        <f>I29/H29*100</f>
        <v>96.5244017139998</v>
      </c>
      <c r="K29" s="88">
        <v>98927.37</v>
      </c>
      <c r="L29" s="13">
        <f>I29/K29*100</f>
        <v>200.68200539446264</v>
      </c>
      <c r="M29" s="13">
        <f t="shared" si="9"/>
        <v>4676069.97</v>
      </c>
      <c r="N29" s="13">
        <f t="shared" si="9"/>
        <v>4499600.5</v>
      </c>
      <c r="O29" s="13">
        <f t="shared" si="11"/>
        <v>96.22611570972708</v>
      </c>
      <c r="P29" s="49">
        <f t="shared" si="1"/>
        <v>3211283.2</v>
      </c>
      <c r="Q29" s="13">
        <f t="shared" si="12"/>
        <v>140.11845794229544</v>
      </c>
      <c r="R29" s="24"/>
      <c r="S29" s="24"/>
    </row>
    <row r="30" spans="1:19" s="15" customFormat="1" ht="12.75">
      <c r="A30" s="34" t="s">
        <v>92</v>
      </c>
      <c r="B30" s="73" t="s">
        <v>57</v>
      </c>
      <c r="C30" s="31">
        <v>11885440</v>
      </c>
      <c r="D30" s="13">
        <v>11644149.41</v>
      </c>
      <c r="E30" s="13">
        <f t="shared" si="2"/>
        <v>97.9698640521512</v>
      </c>
      <c r="F30" s="49">
        <v>17540916.36</v>
      </c>
      <c r="G30" s="13">
        <f t="shared" si="10"/>
        <v>66.38278851014373</v>
      </c>
      <c r="H30" s="13">
        <v>17412845.88</v>
      </c>
      <c r="I30" s="13">
        <v>17203549.65</v>
      </c>
      <c r="J30" s="13">
        <f>I30/H30*100</f>
        <v>98.7980354765536</v>
      </c>
      <c r="K30" s="49">
        <v>19790344.14</v>
      </c>
      <c r="L30" s="13">
        <f>I30/K30*100</f>
        <v>86.92900703645873</v>
      </c>
      <c r="M30" s="13">
        <f t="shared" si="9"/>
        <v>29298285.88</v>
      </c>
      <c r="N30" s="13">
        <f t="shared" si="9"/>
        <v>28847699.06</v>
      </c>
      <c r="O30" s="13">
        <f t="shared" si="11"/>
        <v>98.46207105137306</v>
      </c>
      <c r="P30" s="49">
        <f t="shared" si="1"/>
        <v>37331260.5</v>
      </c>
      <c r="Q30" s="13">
        <f t="shared" si="12"/>
        <v>77.27491296469886</v>
      </c>
      <c r="R30" s="24"/>
      <c r="S30" s="24"/>
    </row>
    <row r="31" spans="1:19" s="15" customFormat="1" ht="12.75">
      <c r="A31" s="34" t="s">
        <v>30</v>
      </c>
      <c r="B31" s="73"/>
      <c r="C31" s="31"/>
      <c r="D31" s="13"/>
      <c r="E31" s="13"/>
      <c r="F31" s="49">
        <v>211637.45</v>
      </c>
      <c r="G31" s="13">
        <f t="shared" si="10"/>
        <v>0</v>
      </c>
      <c r="H31" s="13"/>
      <c r="I31" s="13"/>
      <c r="J31" s="13"/>
      <c r="K31" s="49"/>
      <c r="L31" s="13"/>
      <c r="M31" s="13">
        <f aca="true" t="shared" si="13" ref="M31:M37">C31+H31</f>
        <v>0</v>
      </c>
      <c r="N31" s="13">
        <f aca="true" t="shared" si="14" ref="N31:N37">D31+I31</f>
        <v>0</v>
      </c>
      <c r="O31" s="13"/>
      <c r="P31" s="49">
        <f t="shared" si="1"/>
        <v>211637.45</v>
      </c>
      <c r="Q31" s="13">
        <f t="shared" si="12"/>
        <v>0</v>
      </c>
      <c r="R31" s="24"/>
      <c r="S31" s="24"/>
    </row>
    <row r="32" spans="1:19" s="15" customFormat="1" ht="12.75">
      <c r="A32" s="34" t="s">
        <v>87</v>
      </c>
      <c r="B32" s="73" t="s">
        <v>88</v>
      </c>
      <c r="C32" s="31">
        <v>46000</v>
      </c>
      <c r="D32" s="13">
        <v>45049.92</v>
      </c>
      <c r="E32" s="13">
        <f t="shared" si="2"/>
        <v>97.93460869565217</v>
      </c>
      <c r="F32" s="49">
        <v>90100</v>
      </c>
      <c r="G32" s="13">
        <f t="shared" si="10"/>
        <v>49.99991120976692</v>
      </c>
      <c r="H32" s="13"/>
      <c r="I32" s="13"/>
      <c r="J32" s="13"/>
      <c r="K32" s="49"/>
      <c r="L32" s="13"/>
      <c r="M32" s="13">
        <f>C32+H32</f>
        <v>46000</v>
      </c>
      <c r="N32" s="13">
        <f>D32+I32</f>
        <v>45049.92</v>
      </c>
      <c r="O32" s="13">
        <f t="shared" si="11"/>
        <v>97.93460869565217</v>
      </c>
      <c r="P32" s="49">
        <f t="shared" si="1"/>
        <v>90100</v>
      </c>
      <c r="Q32" s="13">
        <f t="shared" si="12"/>
        <v>49.99991120976692</v>
      </c>
      <c r="R32" s="24"/>
      <c r="S32" s="24"/>
    </row>
    <row r="33" spans="1:19" s="15" customFormat="1" ht="12.75">
      <c r="A33" s="34" t="s">
        <v>78</v>
      </c>
      <c r="B33" s="73" t="s">
        <v>58</v>
      </c>
      <c r="C33" s="31">
        <v>9600</v>
      </c>
      <c r="D33" s="13">
        <v>9600</v>
      </c>
      <c r="E33" s="13">
        <f t="shared" si="2"/>
        <v>100</v>
      </c>
      <c r="F33" s="49">
        <v>21840</v>
      </c>
      <c r="G33" s="13">
        <f t="shared" si="10"/>
        <v>43.956043956043956</v>
      </c>
      <c r="H33" s="13">
        <f>21306130.18-H34</f>
        <v>15337688</v>
      </c>
      <c r="I33" s="13">
        <f>11971795.2-I34</f>
        <v>6149245.209999999</v>
      </c>
      <c r="J33" s="13">
        <f>I33/H33*100</f>
        <v>40.092386870824335</v>
      </c>
      <c r="K33" s="49">
        <v>6829827.92</v>
      </c>
      <c r="L33" s="13">
        <f>I33/K33*100</f>
        <v>90.03514117819822</v>
      </c>
      <c r="M33" s="13">
        <f t="shared" si="13"/>
        <v>15347288</v>
      </c>
      <c r="N33" s="13">
        <f t="shared" si="14"/>
        <v>6158845.209999999</v>
      </c>
      <c r="O33" s="13">
        <f t="shared" si="11"/>
        <v>40.12986014206548</v>
      </c>
      <c r="P33" s="49">
        <f t="shared" si="1"/>
        <v>6851667.92</v>
      </c>
      <c r="Q33" s="13">
        <f t="shared" si="12"/>
        <v>89.88826198103307</v>
      </c>
      <c r="R33" s="24"/>
      <c r="S33" s="24"/>
    </row>
    <row r="34" spans="1:19" s="15" customFormat="1" ht="25.5">
      <c r="A34" s="34" t="s">
        <v>80</v>
      </c>
      <c r="B34" s="73" t="s">
        <v>79</v>
      </c>
      <c r="C34" s="31">
        <v>7630566</v>
      </c>
      <c r="D34" s="13">
        <v>7497112.71</v>
      </c>
      <c r="E34" s="13">
        <f t="shared" si="2"/>
        <v>98.25106957989748</v>
      </c>
      <c r="F34" s="49"/>
      <c r="G34" s="13"/>
      <c r="H34" s="13">
        <v>5968442.18</v>
      </c>
      <c r="I34" s="13">
        <v>5822549.99</v>
      </c>
      <c r="J34" s="13">
        <f>I34/H34*100</f>
        <v>97.55560688031998</v>
      </c>
      <c r="K34" s="49"/>
      <c r="L34" s="13"/>
      <c r="M34" s="13">
        <f>C34+H34</f>
        <v>13599008.18</v>
      </c>
      <c r="N34" s="13">
        <f>D34+I34</f>
        <v>13319662.7</v>
      </c>
      <c r="O34" s="13">
        <f t="shared" si="11"/>
        <v>97.94583931193723</v>
      </c>
      <c r="P34" s="49">
        <f t="shared" si="1"/>
        <v>0</v>
      </c>
      <c r="Q34" s="13"/>
      <c r="R34" s="24"/>
      <c r="S34" s="24"/>
    </row>
    <row r="35" spans="1:19" s="15" customFormat="1" ht="38.25">
      <c r="A35" s="34" t="s">
        <v>82</v>
      </c>
      <c r="B35" s="73" t="s">
        <v>81</v>
      </c>
      <c r="C35" s="31">
        <v>20000</v>
      </c>
      <c r="D35" s="13"/>
      <c r="E35" s="13">
        <f t="shared" si="2"/>
        <v>0</v>
      </c>
      <c r="F35" s="49"/>
      <c r="G35" s="13"/>
      <c r="H35" s="13"/>
      <c r="I35" s="13"/>
      <c r="J35" s="13"/>
      <c r="K35" s="49">
        <v>167577.84</v>
      </c>
      <c r="L35" s="13"/>
      <c r="M35" s="13">
        <f t="shared" si="13"/>
        <v>20000</v>
      </c>
      <c r="N35" s="13">
        <f t="shared" si="14"/>
        <v>0</v>
      </c>
      <c r="O35" s="13">
        <f t="shared" si="11"/>
        <v>0</v>
      </c>
      <c r="P35" s="49">
        <f t="shared" si="1"/>
        <v>167577.84</v>
      </c>
      <c r="Q35" s="13"/>
      <c r="R35" s="24"/>
      <c r="S35" s="24"/>
    </row>
    <row r="36" spans="1:19" s="15" customFormat="1" ht="25.5">
      <c r="A36" s="34" t="s">
        <v>84</v>
      </c>
      <c r="B36" s="73" t="s">
        <v>83</v>
      </c>
      <c r="C36" s="31"/>
      <c r="D36" s="13"/>
      <c r="E36" s="13"/>
      <c r="F36" s="49"/>
      <c r="G36" s="13"/>
      <c r="H36" s="13">
        <v>783825.38</v>
      </c>
      <c r="I36" s="13">
        <v>114112.97</v>
      </c>
      <c r="J36" s="13">
        <f>I36/H36*100</f>
        <v>14.558468367023277</v>
      </c>
      <c r="K36" s="49"/>
      <c r="L36" s="13"/>
      <c r="M36" s="13">
        <f>C36+H36</f>
        <v>783825.38</v>
      </c>
      <c r="N36" s="13">
        <f>D36+I36</f>
        <v>114112.97</v>
      </c>
      <c r="O36" s="13">
        <f t="shared" si="11"/>
        <v>14.558468367023277</v>
      </c>
      <c r="P36" s="49">
        <f t="shared" si="1"/>
        <v>0</v>
      </c>
      <c r="Q36" s="13"/>
      <c r="R36" s="24"/>
      <c r="S36" s="24"/>
    </row>
    <row r="37" spans="1:19" s="15" customFormat="1" ht="12.75">
      <c r="A37" s="34" t="s">
        <v>91</v>
      </c>
      <c r="B37" s="73" t="s">
        <v>100</v>
      </c>
      <c r="C37" s="31">
        <v>2928643</v>
      </c>
      <c r="D37" s="13">
        <v>2620422</v>
      </c>
      <c r="E37" s="13">
        <f>D37/C37*100</f>
        <v>89.47563769295199</v>
      </c>
      <c r="F37" s="49">
        <v>1549391</v>
      </c>
      <c r="G37" s="13">
        <f t="shared" si="10"/>
        <v>169.12593399600232</v>
      </c>
      <c r="H37" s="13">
        <v>3095648</v>
      </c>
      <c r="I37" s="13">
        <v>2681033.17</v>
      </c>
      <c r="J37" s="13">
        <f>I37/H37*100</f>
        <v>86.60652535430384</v>
      </c>
      <c r="K37" s="49">
        <f>1060900+451225</f>
        <v>1512125</v>
      </c>
      <c r="L37" s="13">
        <f>I37/K37*100</f>
        <v>177.30235066545424</v>
      </c>
      <c r="M37" s="13">
        <f t="shared" si="13"/>
        <v>6024291</v>
      </c>
      <c r="N37" s="13">
        <f t="shared" si="14"/>
        <v>5301455.17</v>
      </c>
      <c r="O37" s="13">
        <f>N37/M37*100</f>
        <v>88.00131285158702</v>
      </c>
      <c r="P37" s="49">
        <f t="shared" si="1"/>
        <v>3061516</v>
      </c>
      <c r="Q37" s="13">
        <f t="shared" si="12"/>
        <v>173.16437902006717</v>
      </c>
      <c r="R37" s="24"/>
      <c r="S37" s="24"/>
    </row>
    <row r="38" spans="1:19" ht="12.75">
      <c r="A38" s="34" t="s">
        <v>17</v>
      </c>
      <c r="B38" s="77"/>
      <c r="C38" s="11">
        <f>SUM(C28:C37)+C9+C10+C11+C12</f>
        <v>292428304</v>
      </c>
      <c r="D38" s="11">
        <f>SUM(D28:D37)+D9+D10+D11+D12</f>
        <v>282218451.48</v>
      </c>
      <c r="E38" s="13">
        <f>D38/C38*100</f>
        <v>96.50859633614674</v>
      </c>
      <c r="F38" s="52">
        <f>SUM(F28:F37)+F9+F10+F11+F12</f>
        <v>258588451.04999998</v>
      </c>
      <c r="G38" s="13">
        <f>D38/F38*100</f>
        <v>109.13807261463158</v>
      </c>
      <c r="H38" s="11">
        <f>SUM(H28:H37)+H9+H10+H11+H12</f>
        <v>93237610.04000002</v>
      </c>
      <c r="I38" s="11">
        <f>SUM(I28:I37)+I9+I10+I11+I12</f>
        <v>69896770.78999999</v>
      </c>
      <c r="J38" s="13">
        <f>I38/H38*100</f>
        <v>74.96628319839328</v>
      </c>
      <c r="K38" s="52">
        <f>SUM(K28:K37)+K9+K10+K11+K12</f>
        <v>45812230.88</v>
      </c>
      <c r="L38" s="13">
        <f>I38/K38*100</f>
        <v>152.57229226205277</v>
      </c>
      <c r="M38" s="11">
        <f>SUM(M28:M37)+M9+M10+M11+M12</f>
        <v>385665914.04</v>
      </c>
      <c r="N38" s="11">
        <f>SUM(N28:N37)+N9+N10+N11+N12</f>
        <v>352115222.27</v>
      </c>
      <c r="O38" s="13">
        <f>N38/M38*100</f>
        <v>91.30058152701557</v>
      </c>
      <c r="P38" s="52">
        <f>SUM(P28:P37)+P9+P10+P11+P12</f>
        <v>304400681.92999995</v>
      </c>
      <c r="Q38" s="13">
        <f>N38/P38*100</f>
        <v>115.67491243366284</v>
      </c>
      <c r="R38" s="24"/>
      <c r="S38" s="24"/>
    </row>
    <row r="39" spans="1:19" s="15" customFormat="1" ht="12.75">
      <c r="A39" s="36"/>
      <c r="B39" s="78"/>
      <c r="C39" s="33"/>
      <c r="D39" s="33"/>
      <c r="E39" s="11"/>
      <c r="F39" s="53"/>
      <c r="G39" s="11"/>
      <c r="H39" s="33"/>
      <c r="I39" s="33"/>
      <c r="J39" s="11"/>
      <c r="K39" s="53"/>
      <c r="L39" s="11"/>
      <c r="M39" s="11"/>
      <c r="N39" s="11"/>
      <c r="O39" s="11"/>
      <c r="P39" s="52"/>
      <c r="Q39" s="11"/>
      <c r="R39" s="24"/>
      <c r="S39" s="24"/>
    </row>
    <row r="40" spans="1:19" ht="38.25">
      <c r="A40" s="34" t="s">
        <v>40</v>
      </c>
      <c r="B40" s="79"/>
      <c r="C40" s="13">
        <f>SUM(C41:C45)</f>
        <v>302303353.07000005</v>
      </c>
      <c r="D40" s="13">
        <f>SUM(D41:D45)</f>
        <v>301528651.27000004</v>
      </c>
      <c r="E40" s="13">
        <f aca="true" t="shared" si="15" ref="E40:E46">D40/C40*100</f>
        <v>99.7437336396925</v>
      </c>
      <c r="F40" s="49">
        <v>312656301.56</v>
      </c>
      <c r="G40" s="13">
        <f>D40/F40*100</f>
        <v>96.44093202840355</v>
      </c>
      <c r="H40" s="13">
        <f>SUM(H41:H45)</f>
        <v>0</v>
      </c>
      <c r="I40" s="13">
        <f>SUM(I41:I45)</f>
        <v>0</v>
      </c>
      <c r="J40" s="13"/>
      <c r="K40" s="49">
        <v>0</v>
      </c>
      <c r="L40" s="13"/>
      <c r="M40" s="13">
        <f>SUM(M41:M45)</f>
        <v>302303353.07000005</v>
      </c>
      <c r="N40" s="13">
        <f>SUM(N41:N45)</f>
        <v>301528651.27000004</v>
      </c>
      <c r="O40" s="13">
        <f aca="true" t="shared" si="16" ref="O40:O46">N40/M40*100</f>
        <v>99.7437336396925</v>
      </c>
      <c r="P40" s="49">
        <f>SUM(P41:P45)</f>
        <v>312656301.56</v>
      </c>
      <c r="Q40" s="13">
        <f aca="true" t="shared" si="17" ref="Q40:Q46">N40/P40*100</f>
        <v>96.44093202840355</v>
      </c>
      <c r="R40" s="24"/>
      <c r="S40" s="24"/>
    </row>
    <row r="41" spans="1:19" ht="38.25">
      <c r="A41" s="36" t="s">
        <v>41</v>
      </c>
      <c r="B41" s="76" t="s">
        <v>64</v>
      </c>
      <c r="C41" s="33">
        <v>7964764.86</v>
      </c>
      <c r="D41" s="33">
        <v>7964764.86</v>
      </c>
      <c r="E41" s="33">
        <f t="shared" si="15"/>
        <v>100</v>
      </c>
      <c r="F41" s="53">
        <v>5533853.459999979</v>
      </c>
      <c r="G41" s="33">
        <f aca="true" t="shared" si="18" ref="G41:G46">D41/F41*100</f>
        <v>143.9280045554374</v>
      </c>
      <c r="H41" s="33"/>
      <c r="I41" s="33"/>
      <c r="J41" s="33"/>
      <c r="K41" s="53"/>
      <c r="L41" s="33"/>
      <c r="M41" s="33">
        <f aca="true" t="shared" si="19" ref="M41:N45">H41+C41</f>
        <v>7964764.86</v>
      </c>
      <c r="N41" s="33">
        <f t="shared" si="19"/>
        <v>7964764.86</v>
      </c>
      <c r="O41" s="11">
        <f t="shared" si="16"/>
        <v>100</v>
      </c>
      <c r="P41" s="53">
        <f>F41+K41</f>
        <v>5533853.459999979</v>
      </c>
      <c r="Q41" s="33">
        <f t="shared" si="17"/>
        <v>143.9280045554374</v>
      </c>
      <c r="R41" s="24"/>
      <c r="S41" s="24"/>
    </row>
    <row r="42" spans="1:19" ht="38.25">
      <c r="A42" s="36" t="s">
        <v>38</v>
      </c>
      <c r="B42" s="76" t="s">
        <v>65</v>
      </c>
      <c r="C42" s="33">
        <v>198338188.21</v>
      </c>
      <c r="D42" s="33">
        <v>198338188.21</v>
      </c>
      <c r="E42" s="12">
        <f t="shared" si="15"/>
        <v>100</v>
      </c>
      <c r="F42" s="53">
        <v>212631607.99</v>
      </c>
      <c r="G42" s="33">
        <f t="shared" si="18"/>
        <v>93.27784805132441</v>
      </c>
      <c r="H42" s="33"/>
      <c r="I42" s="33"/>
      <c r="J42" s="33"/>
      <c r="K42" s="53"/>
      <c r="L42" s="33"/>
      <c r="M42" s="33">
        <f t="shared" si="19"/>
        <v>198338188.21</v>
      </c>
      <c r="N42" s="33">
        <f t="shared" si="19"/>
        <v>198338188.21</v>
      </c>
      <c r="O42" s="11">
        <f t="shared" si="16"/>
        <v>100</v>
      </c>
      <c r="P42" s="53">
        <f>F42+K42</f>
        <v>212631607.99</v>
      </c>
      <c r="Q42" s="33">
        <f t="shared" si="17"/>
        <v>93.27784805132441</v>
      </c>
      <c r="R42" s="24"/>
      <c r="S42" s="24"/>
    </row>
    <row r="43" spans="1:19" ht="38.25">
      <c r="A43" s="36" t="s">
        <v>42</v>
      </c>
      <c r="B43" s="76" t="s">
        <v>66</v>
      </c>
      <c r="C43" s="69">
        <f>87417.14+1212582.86</f>
        <v>1300000</v>
      </c>
      <c r="D43" s="69">
        <f>87378.16+1197156.85</f>
        <v>1284535.01</v>
      </c>
      <c r="E43" s="12">
        <f t="shared" si="15"/>
        <v>98.81038538461539</v>
      </c>
      <c r="F43" s="53">
        <v>1276700</v>
      </c>
      <c r="G43" s="33">
        <f t="shared" si="18"/>
        <v>100.61369233179292</v>
      </c>
      <c r="H43" s="33"/>
      <c r="I43" s="33"/>
      <c r="J43" s="33"/>
      <c r="K43" s="53"/>
      <c r="L43" s="33"/>
      <c r="M43" s="33">
        <f t="shared" si="19"/>
        <v>1300000</v>
      </c>
      <c r="N43" s="33">
        <f t="shared" si="19"/>
        <v>1284535.01</v>
      </c>
      <c r="O43" s="11">
        <f t="shared" si="16"/>
        <v>98.81038538461539</v>
      </c>
      <c r="P43" s="53">
        <f>F43+K43</f>
        <v>1276700</v>
      </c>
      <c r="Q43" s="33">
        <f t="shared" si="17"/>
        <v>100.61369233179292</v>
      </c>
      <c r="R43" s="24"/>
      <c r="S43" s="24"/>
    </row>
    <row r="44" spans="1:19" ht="76.5">
      <c r="A44" s="36" t="s">
        <v>36</v>
      </c>
      <c r="B44" s="80" t="s">
        <v>85</v>
      </c>
      <c r="C44" s="70">
        <v>93288400</v>
      </c>
      <c r="D44" s="70">
        <v>92532750.25</v>
      </c>
      <c r="E44" s="68">
        <f t="shared" si="15"/>
        <v>99.18998530363903</v>
      </c>
      <c r="F44" s="53">
        <v>92161417.67</v>
      </c>
      <c r="G44" s="33">
        <f t="shared" si="18"/>
        <v>100.4029154383558</v>
      </c>
      <c r="H44" s="33"/>
      <c r="I44" s="33"/>
      <c r="J44" s="33"/>
      <c r="K44" s="53"/>
      <c r="L44" s="33"/>
      <c r="M44" s="33">
        <f t="shared" si="19"/>
        <v>93288400</v>
      </c>
      <c r="N44" s="33">
        <f t="shared" si="19"/>
        <v>92532750.25</v>
      </c>
      <c r="O44" s="11">
        <f t="shared" si="16"/>
        <v>99.18998530363903</v>
      </c>
      <c r="P44" s="53">
        <f>F44+K44</f>
        <v>92161417.67</v>
      </c>
      <c r="Q44" s="33">
        <f t="shared" si="17"/>
        <v>100.4029154383558</v>
      </c>
      <c r="S44" s="24"/>
    </row>
    <row r="45" spans="1:17" ht="25.5">
      <c r="A45" s="36" t="s">
        <v>39</v>
      </c>
      <c r="B45" s="76" t="s">
        <v>73</v>
      </c>
      <c r="C45" s="33">
        <v>1412000</v>
      </c>
      <c r="D45" s="33">
        <v>1408412.94</v>
      </c>
      <c r="E45" s="12">
        <f t="shared" si="15"/>
        <v>99.74595892351275</v>
      </c>
      <c r="F45" s="53">
        <v>1052722.44</v>
      </c>
      <c r="G45" s="33">
        <f t="shared" si="18"/>
        <v>133.78768101495015</v>
      </c>
      <c r="H45" s="33"/>
      <c r="I45" s="33"/>
      <c r="J45" s="33"/>
      <c r="K45" s="53"/>
      <c r="L45" s="33"/>
      <c r="M45" s="33">
        <f t="shared" si="19"/>
        <v>1412000</v>
      </c>
      <c r="N45" s="33">
        <f t="shared" si="19"/>
        <v>1408412.94</v>
      </c>
      <c r="O45" s="11">
        <f t="shared" si="16"/>
        <v>99.74595892351275</v>
      </c>
      <c r="P45" s="53">
        <f>F45+K45</f>
        <v>1052722.44</v>
      </c>
      <c r="Q45" s="33">
        <f t="shared" si="17"/>
        <v>133.78768101495015</v>
      </c>
    </row>
    <row r="46" spans="1:17" ht="12.75">
      <c r="A46" s="34" t="s">
        <v>15</v>
      </c>
      <c r="B46" s="78"/>
      <c r="C46" s="11">
        <f>C38+C40</f>
        <v>594731657.07</v>
      </c>
      <c r="D46" s="11">
        <f>D38+D40</f>
        <v>583747102.75</v>
      </c>
      <c r="E46" s="13">
        <f t="shared" si="15"/>
        <v>98.15302343680233</v>
      </c>
      <c r="F46" s="52">
        <f>F38+F40</f>
        <v>571244752.61</v>
      </c>
      <c r="G46" s="13">
        <f t="shared" si="18"/>
        <v>102.18861531469254</v>
      </c>
      <c r="H46" s="11">
        <f>H38+H40</f>
        <v>93237610.04000002</v>
      </c>
      <c r="I46" s="11">
        <f aca="true" t="shared" si="20" ref="I46:N46">I38+I40</f>
        <v>69896770.78999999</v>
      </c>
      <c r="J46" s="11">
        <f t="shared" si="20"/>
        <v>74.96628319839328</v>
      </c>
      <c r="K46" s="52">
        <f>K38+K40</f>
        <v>45812230.88</v>
      </c>
      <c r="L46" s="11">
        <f t="shared" si="20"/>
        <v>152.57229226205277</v>
      </c>
      <c r="M46" s="11">
        <f>M38+M40</f>
        <v>687969267.1100001</v>
      </c>
      <c r="N46" s="11">
        <f t="shared" si="20"/>
        <v>653643873.54</v>
      </c>
      <c r="O46" s="13">
        <f t="shared" si="16"/>
        <v>95.01062108280021</v>
      </c>
      <c r="P46" s="52">
        <f>P38+P40</f>
        <v>617056983.49</v>
      </c>
      <c r="Q46" s="11">
        <f t="shared" si="17"/>
        <v>105.92925629705525</v>
      </c>
    </row>
    <row r="47" spans="1:17" ht="12.75">
      <c r="A47" s="14"/>
      <c r="B47" s="14"/>
      <c r="C47" s="61"/>
      <c r="D47" s="61"/>
      <c r="E47" s="61"/>
      <c r="F47" s="71"/>
      <c r="G47" s="61"/>
      <c r="H47" s="61"/>
      <c r="I47" s="61"/>
      <c r="J47" s="28"/>
      <c r="K47" s="54"/>
      <c r="L47" s="28"/>
      <c r="M47" s="28"/>
      <c r="N47" s="61"/>
      <c r="O47" s="28"/>
      <c r="P47" s="28"/>
      <c r="Q47" s="28"/>
    </row>
    <row r="48" spans="1:17" ht="12.75">
      <c r="A48" s="14"/>
      <c r="B48" s="14"/>
      <c r="C48" s="61"/>
      <c r="D48" s="61"/>
      <c r="E48" s="61"/>
      <c r="F48" s="61"/>
      <c r="G48" s="61"/>
      <c r="H48" s="61"/>
      <c r="I48" s="61"/>
      <c r="J48" s="61"/>
      <c r="K48" s="54"/>
      <c r="L48" s="28"/>
      <c r="M48" s="28"/>
      <c r="N48" s="61"/>
      <c r="O48" s="28"/>
      <c r="P48" s="28"/>
      <c r="Q48" s="28"/>
    </row>
    <row r="49" spans="1:6" ht="12.75">
      <c r="A49" t="s">
        <v>24</v>
      </c>
      <c r="C49" s="56"/>
      <c r="D49" s="29"/>
      <c r="F49" s="55" t="s">
        <v>47</v>
      </c>
    </row>
    <row r="50" spans="3:9" ht="12.75">
      <c r="C50" s="56"/>
      <c r="D50" s="56"/>
      <c r="E50" s="56"/>
      <c r="F50" s="71"/>
      <c r="G50" s="56"/>
      <c r="H50" s="56"/>
      <c r="I50" s="56"/>
    </row>
    <row r="51" spans="3:17" ht="12.7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3:4" ht="12.75">
      <c r="C52" s="29"/>
      <c r="D52" s="29"/>
    </row>
    <row r="53" spans="3:4" ht="12.75">
      <c r="C53" s="29"/>
      <c r="D53" s="29"/>
    </row>
    <row r="54" spans="4:9" ht="12.75">
      <c r="D54" s="29"/>
      <c r="E54" s="29"/>
      <c r="F54" s="29"/>
      <c r="G54" s="29"/>
      <c r="H54" s="29"/>
      <c r="I54" s="29"/>
    </row>
    <row r="56" spans="3:10" ht="12.75">
      <c r="C56" s="29"/>
      <c r="D56" s="29"/>
      <c r="E56" s="29"/>
      <c r="F56" s="29"/>
      <c r="G56" s="29"/>
      <c r="H56" s="29"/>
      <c r="I56" s="29"/>
      <c r="J56" s="29"/>
    </row>
    <row r="57" ht="12.75">
      <c r="F57" s="54"/>
    </row>
    <row r="64" spans="3:13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</sheetData>
  <sheetProtection/>
  <printOptions/>
  <pageMargins left="0.5" right="0.16" top="0.16" bottom="0.15" header="0.17" footer="0.1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2019-02-18T13:51:03Z</cp:lastPrinted>
  <dcterms:created xsi:type="dcterms:W3CDTF">2002-09-09T15:52:05Z</dcterms:created>
  <dcterms:modified xsi:type="dcterms:W3CDTF">2019-02-18T13:51:10Z</dcterms:modified>
  <cp:category/>
  <cp:version/>
  <cp:contentType/>
  <cp:contentStatus/>
</cp:coreProperties>
</file>